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6810e4059014644/Bureau/"/>
    </mc:Choice>
  </mc:AlternateContent>
  <xr:revisionPtr revIDLastSave="33" documentId="13_ncr:1_{9DD61AD3-157C-BD43-A607-621F0AA18E04}" xr6:coauthVersionLast="47" xr6:coauthVersionMax="47" xr10:uidLastSave="{BCAC7319-121B-45E9-842A-21762D9D67BC}"/>
  <bookViews>
    <workbookView xWindow="-98" yWindow="-98" windowWidth="21795" windowHeight="13875" firstSheet="1" activeTab="1" xr2:uid="{58B6CDFA-9462-BF4F-9EEE-926F6A2A8D88}"/>
  </bookViews>
  <sheets>
    <sheet name="Projet" sheetId="14" r:id="rId1"/>
    <sheet name="Détails - Location nue" sheetId="16" r:id="rId2"/>
    <sheet name="Détails - Location meublée" sheetId="17" r:id="rId3"/>
    <sheet name="Détails - Location meublée (CD)" sheetId="19" r:id="rId4"/>
    <sheet name="Echéancier" sheetId="3" r:id="rId5"/>
  </sheets>
  <externalReferences>
    <externalReference r:id="rId6"/>
  </externalReferences>
  <definedNames>
    <definedName name="_xlnm._FilterDatabase" localSheetId="4" hidden="1">Echéancier!$B$1:$B$374</definedName>
    <definedName name="Capital" localSheetId="2">-PPMT('Détails - Location meublée'!Taux_Intérêt/12,'Détails - Location meublée'!Numéro_Paiement,'Détails - Location meublée'!Nombre_de_paiements,'Détails - Location meublée'!Montant_du_prêt)</definedName>
    <definedName name="Capital" localSheetId="3">-PPMT('Détails - Location meublée (CD)'!Taux_Intérêt/12,'Détails - Location meublée (CD)'!Numéro_Paiement,'Détails - Location meublée (CD)'!Nombre_de_paiements,'Détails - Location meublée (CD)'!Montant_du_prêt)</definedName>
    <definedName name="Capital" localSheetId="1">-PPMT('Détails - Location nue'!Taux_Intérêt/12,'Détails - Location nue'!Numéro_Paiement,'Détails - Location nue'!Nombre_de_paiements,'Détails - Location nue'!Montant_du_prêt)</definedName>
    <definedName name="Capital" localSheetId="4">-PPMT(Echéancier!Taux_Intérêt/12,Echéancier!Numéro_Paiement,Echéancier!Nombre_de_paiements,Echéancier!Montant_du_prêt)</definedName>
    <definedName name="Capital">-PPMT(Taux_Intérêt/12,Numéro_Paiement,Nombre_de_paiements,Montant_du_prêt)</definedName>
    <definedName name="Coût_Total" localSheetId="2">'Détails - Location meublée'!#REF!</definedName>
    <definedName name="Coût_Total" localSheetId="3">'Détails - Location meublée (CD)'!#REF!</definedName>
    <definedName name="Coût_Total" localSheetId="1">'Détails - Location nue'!#REF!</definedName>
    <definedName name="Coût_Total" localSheetId="4">Echéancier!$G$12</definedName>
    <definedName name="Coût_Total">#REF!</definedName>
    <definedName name="Début_Prêt" localSheetId="2">'Détails - Location meublée'!#REF!</definedName>
    <definedName name="Début_Prêt" localSheetId="3">'Détails - Location meublée (CD)'!#REF!</definedName>
    <definedName name="Début_Prêt" localSheetId="1">'Détails - Location nue'!#REF!</definedName>
    <definedName name="Début_Prêt" localSheetId="4">Echéancier!$G$7</definedName>
    <definedName name="Début_Prêt">'[1]Calculateur de prêt'!$G$7</definedName>
    <definedName name="Début_Solde" localSheetId="2">-FV('Détails - Location meublée'!Taux_Intérêt/12,'Détails - Location meublée'!Numéro_Paiement-1,-'Détails - Location meublée'!Mensualité,'Détails - Location meublée'!Montant_du_prêt)</definedName>
    <definedName name="Début_Solde" localSheetId="3">-FV('Détails - Location meublée (CD)'!Taux_Intérêt/12,'Détails - Location meublée (CD)'!Numéro_Paiement-1,-'Détails - Location meublée (CD)'!Mensualité,'Détails - Location meublée (CD)'!Montant_du_prêt)</definedName>
    <definedName name="Début_Solde" localSheetId="1">-FV('Détails - Location nue'!Taux_Intérêt/12,'Détails - Location nue'!Numéro_Paiement-1,-'Détails - Location nue'!Mensualité,'Détails - Location nue'!Montant_du_prêt)</definedName>
    <definedName name="Début_Solde" localSheetId="4">-FV(Echéancier!Taux_Intérêt/12,Echéancier!Numéro_Paiement-1,-Echéancier!Mensualité,Echéancier!Montant_du_prêt)</definedName>
    <definedName name="Début_Solde">-FV(Taux_Intérêt/12,Numéro_Paiement-1,-Mensualité,Montant_du_prêt)</definedName>
    <definedName name="Dernière_Ligne" localSheetId="2">IF('Détails - Location meublée'!Valeurs_Entrées,'Détails - Location meublée'!Ligne_EnTête+'Détails - Location meublée'!Nombre_de_paiements,'Détails - Location meublée'!Ligne_EnTête)</definedName>
    <definedName name="Dernière_Ligne" localSheetId="3">IF('Détails - Location meublée (CD)'!Valeurs_Entrées,'Détails - Location meublée (CD)'!Ligne_EnTête+'Détails - Location meublée (CD)'!Nombre_de_paiements,'Détails - Location meublée (CD)'!Ligne_EnTête)</definedName>
    <definedName name="Dernière_Ligne" localSheetId="1">IF('Détails - Location nue'!Valeurs_Entrées,'Détails - Location nue'!Ligne_EnTête+'Détails - Location nue'!Nombre_de_paiements,'Détails - Location nue'!Ligne_EnTête)</definedName>
    <definedName name="Dernière_Ligne" localSheetId="4">IF(Echéancier!Valeurs_Entrées,Echéancier!Ligne_EnTête+Echéancier!Nombre_de_paiements,Echéancier!Ligne_EnTête)</definedName>
    <definedName name="Dernière_Ligne">IF(Valeurs_Entrées,Ligne_EnTête+Nombre_de_paiements,Ligne_EnTête)</definedName>
    <definedName name="Durée_Prêt" localSheetId="2">'Détails - Location meublée'!#REF!</definedName>
    <definedName name="Durée_Prêt" localSheetId="3">'Détails - Location meublée (CD)'!#REF!</definedName>
    <definedName name="Durée_Prêt" localSheetId="1">'Détails - Location nue'!#REF!</definedName>
    <definedName name="Durée_Prêt" localSheetId="4">Echéancier!$G$6</definedName>
    <definedName name="Durée_Prêt">'[1]Calculateur de prêt'!$G$6</definedName>
    <definedName name="Fin_Solde" localSheetId="2">-FV('Détails - Location meublée'!Taux_Intérêt/12,'Détails - Location meublée'!Numéro_Paiement,-'Détails - Location meublée'!Mensualité,'Détails - Location meublée'!Montant_du_prêt)</definedName>
    <definedName name="Fin_Solde" localSheetId="3">-FV('Détails - Location meublée (CD)'!Taux_Intérêt/12,'Détails - Location meublée (CD)'!Numéro_Paiement,-'Détails - Location meublée (CD)'!Mensualité,'Détails - Location meublée (CD)'!Montant_du_prêt)</definedName>
    <definedName name="Fin_Solde" localSheetId="1">-FV('Détails - Location nue'!Taux_Intérêt/12,'Détails - Location nue'!Numéro_Paiement,-'Détails - Location nue'!Mensualité,'Détails - Location nue'!Montant_du_prêt)</definedName>
    <definedName name="Fin_Solde" localSheetId="4">-FV(Echéancier!Taux_Intérêt/12,Echéancier!Numéro_Paiement,-Echéancier!Mensualité,Echéancier!Montant_du_prêt)</definedName>
    <definedName name="Fin_Solde">-FV(Taux_Intérêt/12,Numéro_Paiement,-Mensualité,Montant_du_prêt)</definedName>
    <definedName name="_xlnm.Print_Titles" localSheetId="2">'Détails - Location meublée'!$49:$49</definedName>
    <definedName name="_xlnm.Print_Titles" localSheetId="3">'Détails - Location meublée (CD)'!$49:$49</definedName>
    <definedName name="_xlnm.Print_Titles" localSheetId="1">'Détails - Location nue'!$38:$38</definedName>
    <definedName name="_xlnm.Print_Titles" localSheetId="4">Echéancier!$14:$14</definedName>
    <definedName name="Impression_Entière" localSheetId="2">'Détails - Location meublée'!$A$49:$F$89</definedName>
    <definedName name="Impression_Entière" localSheetId="3">'Détails - Location meublée (CD)'!$A$49:$F$89</definedName>
    <definedName name="Impression_Entière" localSheetId="1">'Détails - Location nue'!$A$38:$F$78</definedName>
    <definedName name="Impression_Entière" localSheetId="4">Echéancier!$A$2:$J$374</definedName>
    <definedName name="Intérêts" localSheetId="2">-IPMT('Détails - Location meublée'!Taux_Intérêt/12,'Détails - Location meublée'!Numéro_Paiement,'Détails - Location meublée'!Nombre_de_paiements,'Détails - Location meublée'!Montant_du_prêt)</definedName>
    <definedName name="Intérêts" localSheetId="3">-IPMT('Détails - Location meublée (CD)'!Taux_Intérêt/12,'Détails - Location meublée (CD)'!Numéro_Paiement,'Détails - Location meublée (CD)'!Nombre_de_paiements,'Détails - Location meublée (CD)'!Montant_du_prêt)</definedName>
    <definedName name="Intérêts" localSheetId="1">-IPMT('Détails - Location nue'!Taux_Intérêt/12,'Détails - Location nue'!Numéro_Paiement,'Détails - Location nue'!Nombre_de_paiements,'Détails - Location nue'!Montant_du_prêt)</definedName>
    <definedName name="Intérêts" localSheetId="4">-IPMT(Echéancier!Taux_Intérêt/12,Echéancier!Numéro_Paiement,Echéancier!Nombre_de_paiements,Echéancier!Montant_du_prêt)</definedName>
    <definedName name="Intérêts">-IPMT(Taux_Intérêt/12,Numéro_Paiement,Nombre_de_paiements,Montant_du_prêt)</definedName>
    <definedName name="Ligne_EnTête" localSheetId="2">ROW('Détails - Location meublée'!$49:$49)</definedName>
    <definedName name="Ligne_EnTête" localSheetId="3">ROW('Détails - Location meublée (CD)'!$49:$49)</definedName>
    <definedName name="Ligne_EnTête" localSheetId="1">ROW('Détails - Location nue'!$38:$38)</definedName>
    <definedName name="Ligne_EnTête" localSheetId="4">ROW(Echéancier!$14:$14)</definedName>
    <definedName name="Ligne_EnTête">ROW('[1]Calculateur de prêt'!$13:$13)</definedName>
    <definedName name="Ligne_EnTête_Arrière" localSheetId="2">ROW('Détails - Location meublée'!$49:$49)</definedName>
    <definedName name="Ligne_EnTête_Arrière" localSheetId="3">ROW('Détails - Location meublée (CD)'!$49:$49)</definedName>
    <definedName name="Ligne_EnTête_Arrière" localSheetId="1">ROW('Détails - Location nue'!$38:$38)</definedName>
    <definedName name="Ligne_EnTête_Arrière" localSheetId="4">ROW(Echéancier!$14:$14)</definedName>
    <definedName name="Ligne_EnTête_Arrière">ROW('[1]Calculateur de prêt'!$13:$13)</definedName>
    <definedName name="Mensualité" localSheetId="2">-PMT('Détails - Location meublée'!Taux_Intérêt/12,'Détails - Location meublée'!Nombre_de_paiements,'Détails - Location meublée'!Montant_du_prêt)</definedName>
    <definedName name="Mensualité" localSheetId="3">-PMT('Détails - Location meublée (CD)'!Taux_Intérêt/12,'Détails - Location meublée (CD)'!Nombre_de_paiements,'Détails - Location meublée (CD)'!Montant_du_prêt)</definedName>
    <definedName name="Mensualité" localSheetId="1">-PMT('Détails - Location nue'!Taux_Intérêt/12,'Détails - Location nue'!Nombre_de_paiements,'Détails - Location nue'!Montant_du_prêt)</definedName>
    <definedName name="Mensualité" localSheetId="4">-PMT(Echéancier!Taux_Intérêt/12,Echéancier!Nombre_de_paiements,Echéancier!Montant_du_prêt)</definedName>
    <definedName name="Mensualité">-PMT(Taux_Intérêt/12,Nombre_de_paiements,Montant_du_prêt)</definedName>
    <definedName name="Montant_du_prêt" localSheetId="2">'Détails - Location meublée'!#REF!</definedName>
    <definedName name="Montant_du_prêt" localSheetId="3">'Détails - Location meublée (CD)'!#REF!</definedName>
    <definedName name="Montant_du_prêt" localSheetId="1">'Détails - Location nue'!#REF!</definedName>
    <definedName name="Montant_du_prêt" localSheetId="4">Echéancier!$G$4</definedName>
    <definedName name="Montant_du_prêt">'[1]Calculateur de prêt'!$G$4</definedName>
    <definedName name="Nombre_de_paiements" localSheetId="2">'Détails - Location meublée'!#REF!</definedName>
    <definedName name="Nombre_de_paiements" localSheetId="3">'Détails - Location meublée (CD)'!#REF!</definedName>
    <definedName name="Nombre_de_paiements" localSheetId="1">'Détails - Location nue'!#REF!</definedName>
    <definedName name="Nombre_de_paiements" localSheetId="4">Echéancier!$G$10</definedName>
    <definedName name="Nombre_de_paiements">'[1]Calculateur de prêt'!$G$10</definedName>
    <definedName name="Numéro_Paiement" localSheetId="2">ROW()-'Détails - Location meublée'!Ligne_EnTête</definedName>
    <definedName name="Numéro_Paiement" localSheetId="3">ROW()-'Détails - Location meublée (CD)'!Ligne_EnTête</definedName>
    <definedName name="Numéro_Paiement" localSheetId="1">ROW()-'Détails - Location nue'!Ligne_EnTête</definedName>
    <definedName name="Numéro_Paiement" localSheetId="4">ROW()-Echéancier!Ligne_EnTête</definedName>
    <definedName name="Numéro_Paiement">ROW()-Ligne_EnTête</definedName>
    <definedName name="Paiement_Date" localSheetId="2">DATE(YEAR('Détails - Location meublée'!Début_Prêt),MONTH('Détails - Location meublée'!Début_Prêt)+'Détails - Location meublée'!Numéro_Paiement,DAY('Détails - Location meublée'!Début_Prêt))</definedName>
    <definedName name="Paiement_Date" localSheetId="3">DATE(YEAR('Détails - Location meublée (CD)'!Début_Prêt),MONTH('Détails - Location meublée (CD)'!Début_Prêt)+'Détails - Location meublée (CD)'!Numéro_Paiement,DAY('Détails - Location meublée (CD)'!Début_Prêt))</definedName>
    <definedName name="Paiement_Date" localSheetId="1">DATE(YEAR('Détails - Location nue'!Début_Prêt),MONTH('Détails - Location nue'!Début_Prêt)+'Détails - Location nue'!Numéro_Paiement,DAY('Détails - Location nue'!Début_Prêt))</definedName>
    <definedName name="Paiement_Date" localSheetId="4">DATE(YEAR(Echéancier!Début_Prêt),MONTH(Echéancier!Début_Prêt)+Echéancier!Numéro_Paiement,DAY(Echéancier!Début_Prêt))</definedName>
    <definedName name="Paiement_Date">DATE(YEAR(Début_Prêt),MONTH(Début_Prêt)+Numéro_Paiement,DAY(Début_Prêt))</definedName>
    <definedName name="Prêt_Non_Payé" localSheetId="2">IF('Détails - Location meublée'!Numéro_Paiement&lt;='Détails - Location meublée'!Nombre_de_paiements,1,0)</definedName>
    <definedName name="Prêt_Non_Payé" localSheetId="3">IF('Détails - Location meublée (CD)'!Numéro_Paiement&lt;='Détails - Location meublée (CD)'!Nombre_de_paiements,1,0)</definedName>
    <definedName name="Prêt_Non_Payé" localSheetId="1">IF('Détails - Location nue'!Numéro_Paiement&lt;='Détails - Location nue'!Nombre_de_paiements,1,0)</definedName>
    <definedName name="Prêt_Non_Payé" localSheetId="4">IF(Echéancier!Numéro_Paiement&lt;=Echéancier!Nombre_de_paiements,1,0)</definedName>
    <definedName name="Prêt_Non_Payé">IF(Numéro_Paiement&lt;=Nombre_de_paiements,1,0)</definedName>
    <definedName name="Prix_d_achat" comment="Test">Projet!$C$8</definedName>
    <definedName name="Taux_Intérêt" localSheetId="2">'Détails - Location meublée'!#REF!</definedName>
    <definedName name="Taux_Intérêt" localSheetId="3">'Détails - Location meublée (CD)'!#REF!</definedName>
    <definedName name="Taux_Intérêt" localSheetId="1">'Détails - Location nue'!#REF!</definedName>
    <definedName name="Taux_Intérêt" localSheetId="4">Echéancier!$G$5</definedName>
    <definedName name="Taux_Intérêt">'[1]Calculateur de prêt'!$G$5</definedName>
    <definedName name="TitreColonne1" localSheetId="2">#N/A</definedName>
    <definedName name="TitreColonne1" localSheetId="3">#N/A</definedName>
    <definedName name="TitreColonne1" localSheetId="1">#N/A</definedName>
    <definedName name="TitreColonne1" localSheetId="4">Prêt3[[#Headers],[N°]]</definedName>
    <definedName name="TitreColonne1">[1]!Prêt[[#Headers],[N°]]</definedName>
    <definedName name="Total_des_intérêts" localSheetId="2">'Détails - Location meublée'!#REF!</definedName>
    <definedName name="Total_des_intérêts" localSheetId="3">'Détails - Location meublée (CD)'!#REF!</definedName>
    <definedName name="Total_des_intérêts" localSheetId="1">'Détails - Location nue'!#REF!</definedName>
    <definedName name="Total_des_intérêts" localSheetId="4">Echéancier!$G$11</definedName>
    <definedName name="Valeurs_Entrées" localSheetId="2">IF('Détails - Location meublée'!Montant_du_prêt*'Détails - Location meublée'!Taux_Intérêt*'Détails - Location meublée'!Durée_Prêt*'Détails - Location meublée'!Début_Prêt&gt;0,1,0)</definedName>
    <definedName name="Valeurs_Entrées" localSheetId="3">IF('Détails - Location meublée (CD)'!Montant_du_prêt*'Détails - Location meublée (CD)'!Taux_Intérêt*'Détails - Location meublée (CD)'!Durée_Prêt*'Détails - Location meublée (CD)'!Début_Prêt&gt;0,1,0)</definedName>
    <definedName name="Valeurs_Entrées" localSheetId="1">IF('Détails - Location nue'!Montant_du_prêt*'Détails - Location nue'!Taux_Intérêt*'Détails - Location nue'!Durée_Prêt*'Détails - Location nue'!Début_Prêt&gt;0,1,0)</definedName>
    <definedName name="Valeurs_Entrées" localSheetId="4">IF(Echéancier!Montant_du_prêt*Echéancier!Taux_Intérêt*Echéancier!Durée_Prêt*Echéancier!Début_Prêt&gt;0,1,0)</definedName>
    <definedName name="Valeurs_Entrées">IF(Montant_du_prêt*Taux_Intérêt*Durée_Prêt*Début_Prêt&gt;0,1,0)</definedName>
    <definedName name="ZoneTitreLigne1..E6" localSheetId="2">'Détails - Location meublée'!#REF!</definedName>
    <definedName name="ZoneTitreLigne1..E6" localSheetId="3">'Détails - Location meublée (CD)'!#REF!</definedName>
    <definedName name="ZoneTitreLigne1..E6" localSheetId="1">'Détails - Location nue'!#REF!</definedName>
    <definedName name="ZoneTitreLigne1..E6" localSheetId="4">Echéancier!$D$4</definedName>
    <definedName name="ZoneTitreLigne2..E11" localSheetId="2">'Détails - Location meublée'!#REF!</definedName>
    <definedName name="ZoneTitreLigne2..E11" localSheetId="3">'Détails - Location meublée (CD)'!#REF!</definedName>
    <definedName name="ZoneTitreLigne2..E11" localSheetId="1">'Détails - Location nue'!#REF!</definedName>
    <definedName name="ZoneTitreLigne2..E11" localSheetId="4">Echéancier!$D$9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4" l="1"/>
  <c r="C11" i="14"/>
  <c r="C12" i="14" s="1"/>
  <c r="C26" i="14"/>
  <c r="C25" i="14"/>
  <c r="C56" i="14" l="1"/>
  <c r="E59" i="14" s="1"/>
  <c r="N8" i="19" s="1"/>
  <c r="N14" i="19" s="1"/>
  <c r="C38" i="14"/>
  <c r="B8" i="16" s="1"/>
  <c r="F89" i="19"/>
  <c r="E89" i="19"/>
  <c r="D89" i="19"/>
  <c r="C89" i="19"/>
  <c r="B89" i="19"/>
  <c r="A89" i="19"/>
  <c r="F88" i="19"/>
  <c r="E88" i="19"/>
  <c r="D88" i="19"/>
  <c r="C88" i="19"/>
  <c r="B88" i="19"/>
  <c r="A88" i="19"/>
  <c r="F87" i="19"/>
  <c r="E87" i="19"/>
  <c r="D87" i="19"/>
  <c r="C87" i="19"/>
  <c r="B87" i="19"/>
  <c r="A87" i="19"/>
  <c r="F86" i="19"/>
  <c r="E86" i="19"/>
  <c r="D86" i="19"/>
  <c r="C86" i="19"/>
  <c r="B86" i="19"/>
  <c r="A86" i="19"/>
  <c r="F85" i="19"/>
  <c r="E85" i="19"/>
  <c r="D85" i="19"/>
  <c r="C85" i="19"/>
  <c r="B85" i="19"/>
  <c r="A85" i="19"/>
  <c r="F84" i="19"/>
  <c r="E84" i="19"/>
  <c r="D84" i="19"/>
  <c r="C84" i="19"/>
  <c r="B84" i="19"/>
  <c r="A84" i="19"/>
  <c r="F83" i="19"/>
  <c r="E83" i="19"/>
  <c r="D83" i="19"/>
  <c r="C83" i="19"/>
  <c r="B83" i="19"/>
  <c r="A83" i="19"/>
  <c r="F82" i="19"/>
  <c r="E82" i="19"/>
  <c r="D82" i="19"/>
  <c r="C82" i="19"/>
  <c r="B82" i="19"/>
  <c r="A82" i="19"/>
  <c r="F81" i="19"/>
  <c r="E81" i="19"/>
  <c r="D81" i="19"/>
  <c r="C81" i="19"/>
  <c r="B81" i="19"/>
  <c r="A81" i="19"/>
  <c r="F80" i="19"/>
  <c r="E80" i="19"/>
  <c r="D80" i="19"/>
  <c r="C80" i="19"/>
  <c r="B80" i="19"/>
  <c r="A80" i="19"/>
  <c r="F79" i="19"/>
  <c r="E79" i="19"/>
  <c r="D79" i="19"/>
  <c r="C79" i="19"/>
  <c r="B79" i="19"/>
  <c r="A79" i="19"/>
  <c r="F78" i="19"/>
  <c r="E78" i="19"/>
  <c r="D78" i="19"/>
  <c r="C78" i="19"/>
  <c r="B78" i="19"/>
  <c r="A78" i="19"/>
  <c r="F77" i="19"/>
  <c r="E77" i="19"/>
  <c r="D77" i="19"/>
  <c r="C77" i="19"/>
  <c r="B77" i="19"/>
  <c r="A77" i="19"/>
  <c r="F76" i="19"/>
  <c r="E76" i="19"/>
  <c r="D76" i="19"/>
  <c r="C76" i="19"/>
  <c r="B76" i="19"/>
  <c r="A76" i="19"/>
  <c r="F75" i="19"/>
  <c r="E75" i="19"/>
  <c r="D75" i="19"/>
  <c r="C75" i="19"/>
  <c r="B75" i="19"/>
  <c r="A75" i="19"/>
  <c r="F74" i="19"/>
  <c r="E74" i="19"/>
  <c r="D74" i="19"/>
  <c r="C74" i="19"/>
  <c r="B74" i="19"/>
  <c r="A74" i="19"/>
  <c r="F73" i="19"/>
  <c r="E73" i="19"/>
  <c r="D73" i="19"/>
  <c r="C73" i="19"/>
  <c r="B73" i="19"/>
  <c r="A73" i="19"/>
  <c r="C32" i="19"/>
  <c r="D32" i="19" s="1"/>
  <c r="E32" i="19" s="1"/>
  <c r="F32" i="19" s="1"/>
  <c r="G32" i="19" s="1"/>
  <c r="H32" i="19" s="1"/>
  <c r="I32" i="19" s="1"/>
  <c r="J32" i="19" s="1"/>
  <c r="K32" i="19" s="1"/>
  <c r="L32" i="19" s="1"/>
  <c r="M32" i="19" s="1"/>
  <c r="N32" i="19" s="1"/>
  <c r="O32" i="19" s="1"/>
  <c r="P32" i="19" s="1"/>
  <c r="Q32" i="19" s="1"/>
  <c r="R32" i="19" s="1"/>
  <c r="S32" i="19" s="1"/>
  <c r="T32" i="19" s="1"/>
  <c r="U32" i="19" s="1"/>
  <c r="V32" i="19" s="1"/>
  <c r="W32" i="19" s="1"/>
  <c r="X32" i="19" s="1"/>
  <c r="Y32" i="19" s="1"/>
  <c r="Z32" i="19" s="1"/>
  <c r="AA32" i="19" s="1"/>
  <c r="AB32" i="19" s="1"/>
  <c r="AC32" i="19" s="1"/>
  <c r="AD32" i="19" s="1"/>
  <c r="AE32" i="19" s="1"/>
  <c r="C22" i="19"/>
  <c r="D22" i="19" s="1"/>
  <c r="E22" i="19" s="1"/>
  <c r="F22" i="19" s="1"/>
  <c r="G22" i="19" s="1"/>
  <c r="H22" i="19" s="1"/>
  <c r="I22" i="19" s="1"/>
  <c r="J22" i="19" s="1"/>
  <c r="K22" i="19" s="1"/>
  <c r="L22" i="19" s="1"/>
  <c r="M22" i="19" s="1"/>
  <c r="N22" i="19" s="1"/>
  <c r="O22" i="19" s="1"/>
  <c r="P22" i="19" s="1"/>
  <c r="Q22" i="19" s="1"/>
  <c r="R22" i="19" s="1"/>
  <c r="S22" i="19" s="1"/>
  <c r="T22" i="19" s="1"/>
  <c r="U22" i="19" s="1"/>
  <c r="V22" i="19" s="1"/>
  <c r="W22" i="19" s="1"/>
  <c r="X22" i="19" s="1"/>
  <c r="Y22" i="19" s="1"/>
  <c r="Z22" i="19" s="1"/>
  <c r="AA22" i="19" s="1"/>
  <c r="AB22" i="19" s="1"/>
  <c r="AC22" i="19" s="1"/>
  <c r="AD22" i="19" s="1"/>
  <c r="AE22" i="19" s="1"/>
  <c r="B16" i="19"/>
  <c r="C16" i="19" s="1"/>
  <c r="D16" i="19" s="1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B15" i="19"/>
  <c r="C15" i="19" s="1"/>
  <c r="D15" i="19" s="1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B13" i="19"/>
  <c r="C13" i="19" s="1"/>
  <c r="D13" i="19" s="1"/>
  <c r="E13" i="19" s="1"/>
  <c r="F13" i="19" s="1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Q13" i="19" s="1"/>
  <c r="R13" i="19" s="1"/>
  <c r="S13" i="19" s="1"/>
  <c r="T13" i="19" s="1"/>
  <c r="U13" i="19" s="1"/>
  <c r="V13" i="19" s="1"/>
  <c r="W13" i="19" s="1"/>
  <c r="X13" i="19" s="1"/>
  <c r="Y13" i="19" s="1"/>
  <c r="Z13" i="19" s="1"/>
  <c r="AA13" i="19" s="1"/>
  <c r="AB13" i="19" s="1"/>
  <c r="AC13" i="19" s="1"/>
  <c r="AD13" i="19" s="1"/>
  <c r="AE13" i="19" s="1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B4" i="19"/>
  <c r="C4" i="19" s="1"/>
  <c r="D4" i="19" s="1"/>
  <c r="E4" i="19" s="1"/>
  <c r="F4" i="19" s="1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D2" i="19"/>
  <c r="C2" i="19"/>
  <c r="C32" i="17"/>
  <c r="D32" i="17" s="1"/>
  <c r="E32" i="17" s="1"/>
  <c r="F32" i="17" s="1"/>
  <c r="G32" i="17" s="1"/>
  <c r="H32" i="17" s="1"/>
  <c r="I32" i="17" s="1"/>
  <c r="J32" i="17" s="1"/>
  <c r="K32" i="17" s="1"/>
  <c r="L32" i="17" s="1"/>
  <c r="M32" i="17" s="1"/>
  <c r="N32" i="17" s="1"/>
  <c r="O32" i="17" s="1"/>
  <c r="P32" i="17" s="1"/>
  <c r="Q32" i="17" s="1"/>
  <c r="R32" i="17" s="1"/>
  <c r="S32" i="17" s="1"/>
  <c r="T32" i="17" s="1"/>
  <c r="U32" i="17" s="1"/>
  <c r="V32" i="17" s="1"/>
  <c r="W32" i="17" s="1"/>
  <c r="X32" i="17" s="1"/>
  <c r="Y32" i="17" s="1"/>
  <c r="Z32" i="17" s="1"/>
  <c r="AA32" i="17" s="1"/>
  <c r="AB32" i="17" s="1"/>
  <c r="AC32" i="17" s="1"/>
  <c r="AD32" i="17" s="1"/>
  <c r="AE32" i="17" s="1"/>
  <c r="C22" i="17"/>
  <c r="D22" i="17" s="1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V22" i="17" s="1"/>
  <c r="W22" i="17" s="1"/>
  <c r="X22" i="17" s="1"/>
  <c r="Y22" i="17" s="1"/>
  <c r="Z22" i="17" s="1"/>
  <c r="AA22" i="17" s="1"/>
  <c r="AB22" i="17" s="1"/>
  <c r="AC22" i="17" s="1"/>
  <c r="AD22" i="17" s="1"/>
  <c r="AE22" i="17" s="1"/>
  <c r="C47" i="14"/>
  <c r="B8" i="17" s="1"/>
  <c r="B8" i="19" l="1"/>
  <c r="B14" i="19" s="1"/>
  <c r="E2" i="19"/>
  <c r="B4" i="16"/>
  <c r="C8" i="19" l="1"/>
  <c r="D8" i="19" s="1"/>
  <c r="D14" i="19" s="1"/>
  <c r="B42" i="19"/>
  <c r="B43" i="19" s="1"/>
  <c r="C14" i="19"/>
  <c r="F2" i="19"/>
  <c r="B42" i="17"/>
  <c r="F89" i="17"/>
  <c r="E89" i="17"/>
  <c r="D89" i="17"/>
  <c r="C89" i="17"/>
  <c r="B89" i="17"/>
  <c r="A89" i="17"/>
  <c r="F88" i="17"/>
  <c r="E88" i="17"/>
  <c r="D88" i="17"/>
  <c r="C88" i="17"/>
  <c r="B88" i="17"/>
  <c r="A88" i="17"/>
  <c r="F87" i="17"/>
  <c r="E87" i="17"/>
  <c r="D87" i="17"/>
  <c r="C87" i="17"/>
  <c r="B87" i="17"/>
  <c r="A87" i="17"/>
  <c r="F86" i="17"/>
  <c r="E86" i="17"/>
  <c r="D86" i="17"/>
  <c r="C86" i="17"/>
  <c r="B86" i="17"/>
  <c r="A86" i="17"/>
  <c r="F85" i="17"/>
  <c r="E85" i="17"/>
  <c r="D85" i="17"/>
  <c r="C85" i="17"/>
  <c r="B85" i="17"/>
  <c r="A85" i="17"/>
  <c r="F84" i="17"/>
  <c r="E84" i="17"/>
  <c r="D84" i="17"/>
  <c r="C84" i="17"/>
  <c r="B84" i="17"/>
  <c r="A84" i="17"/>
  <c r="F83" i="17"/>
  <c r="E83" i="17"/>
  <c r="D83" i="17"/>
  <c r="C83" i="17"/>
  <c r="B83" i="17"/>
  <c r="A83" i="17"/>
  <c r="F82" i="17"/>
  <c r="E82" i="17"/>
  <c r="D82" i="17"/>
  <c r="C82" i="17"/>
  <c r="B82" i="17"/>
  <c r="A82" i="17"/>
  <c r="F81" i="17"/>
  <c r="E81" i="17"/>
  <c r="D81" i="17"/>
  <c r="C81" i="17"/>
  <c r="B81" i="17"/>
  <c r="A81" i="17"/>
  <c r="F80" i="17"/>
  <c r="E80" i="17"/>
  <c r="D80" i="17"/>
  <c r="C80" i="17"/>
  <c r="B80" i="17"/>
  <c r="A80" i="17"/>
  <c r="F79" i="17"/>
  <c r="E79" i="17"/>
  <c r="D79" i="17"/>
  <c r="C79" i="17"/>
  <c r="B79" i="17"/>
  <c r="A79" i="17"/>
  <c r="F78" i="17"/>
  <c r="E78" i="17"/>
  <c r="D78" i="17"/>
  <c r="C78" i="17"/>
  <c r="B78" i="17"/>
  <c r="A78" i="17"/>
  <c r="F77" i="17"/>
  <c r="E77" i="17"/>
  <c r="D77" i="17"/>
  <c r="C77" i="17"/>
  <c r="B77" i="17"/>
  <c r="A77" i="17"/>
  <c r="F76" i="17"/>
  <c r="E76" i="17"/>
  <c r="D76" i="17"/>
  <c r="C76" i="17"/>
  <c r="B76" i="17"/>
  <c r="A76" i="17"/>
  <c r="F75" i="17"/>
  <c r="E75" i="17"/>
  <c r="D75" i="17"/>
  <c r="C75" i="17"/>
  <c r="B75" i="17"/>
  <c r="A75" i="17"/>
  <c r="F74" i="17"/>
  <c r="E74" i="17"/>
  <c r="D74" i="17"/>
  <c r="C74" i="17"/>
  <c r="B74" i="17"/>
  <c r="A74" i="17"/>
  <c r="F73" i="17"/>
  <c r="E73" i="17"/>
  <c r="D73" i="17"/>
  <c r="C73" i="17"/>
  <c r="B73" i="17"/>
  <c r="A73" i="17"/>
  <c r="B16" i="17"/>
  <c r="C16" i="17" s="1"/>
  <c r="D16" i="17" s="1"/>
  <c r="E16" i="17" s="1"/>
  <c r="F16" i="17" s="1"/>
  <c r="G16" i="17" s="1"/>
  <c r="H16" i="17" s="1"/>
  <c r="I16" i="17" s="1"/>
  <c r="J16" i="17" s="1"/>
  <c r="K16" i="17" s="1"/>
  <c r="L16" i="17" s="1"/>
  <c r="M16" i="17" s="1"/>
  <c r="N16" i="17" s="1"/>
  <c r="O16" i="17" s="1"/>
  <c r="P16" i="17" s="1"/>
  <c r="Q16" i="17" s="1"/>
  <c r="R16" i="17" s="1"/>
  <c r="S16" i="17" s="1"/>
  <c r="T16" i="17" s="1"/>
  <c r="U16" i="17" s="1"/>
  <c r="V16" i="17" s="1"/>
  <c r="W16" i="17" s="1"/>
  <c r="X16" i="17" s="1"/>
  <c r="Y16" i="17" s="1"/>
  <c r="Z16" i="17" s="1"/>
  <c r="AA16" i="17" s="1"/>
  <c r="AB16" i="17" s="1"/>
  <c r="AC16" i="17" s="1"/>
  <c r="AD16" i="17" s="1"/>
  <c r="AE16" i="17" s="1"/>
  <c r="B15" i="17"/>
  <c r="C15" i="17" s="1"/>
  <c r="D15" i="17" s="1"/>
  <c r="E15" i="17" s="1"/>
  <c r="F15" i="17" s="1"/>
  <c r="G15" i="17" s="1"/>
  <c r="H15" i="17" s="1"/>
  <c r="I15" i="17" s="1"/>
  <c r="J15" i="17" s="1"/>
  <c r="K15" i="17" s="1"/>
  <c r="L15" i="17" s="1"/>
  <c r="M15" i="17" s="1"/>
  <c r="N15" i="17" s="1"/>
  <c r="O15" i="17" s="1"/>
  <c r="P15" i="17" s="1"/>
  <c r="Q15" i="17" s="1"/>
  <c r="R15" i="17" s="1"/>
  <c r="S15" i="17" s="1"/>
  <c r="T15" i="17" s="1"/>
  <c r="U15" i="17" s="1"/>
  <c r="V15" i="17" s="1"/>
  <c r="W15" i="17" s="1"/>
  <c r="X15" i="17" s="1"/>
  <c r="Y15" i="17" s="1"/>
  <c r="Z15" i="17" s="1"/>
  <c r="AA15" i="17" s="1"/>
  <c r="AB15" i="17" s="1"/>
  <c r="AC15" i="17" s="1"/>
  <c r="AD15" i="17" s="1"/>
  <c r="AE15" i="17" s="1"/>
  <c r="B13" i="17"/>
  <c r="B4" i="17"/>
  <c r="C4" i="17" s="1"/>
  <c r="D4" i="17" s="1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AA4" i="17" s="1"/>
  <c r="AB4" i="17" s="1"/>
  <c r="AC4" i="17" s="1"/>
  <c r="AD4" i="17" s="1"/>
  <c r="AE4" i="17" s="1"/>
  <c r="C2" i="17"/>
  <c r="D2" i="17" s="1"/>
  <c r="E2" i="17" s="1"/>
  <c r="B13" i="16"/>
  <c r="C13" i="16" s="1"/>
  <c r="D13" i="16" s="1"/>
  <c r="E13" i="16" s="1"/>
  <c r="F13" i="16" s="1"/>
  <c r="G13" i="16" s="1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C4" i="16"/>
  <c r="D4" i="16" s="1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C2" i="16"/>
  <c r="D2" i="16" s="1"/>
  <c r="E2" i="16" s="1"/>
  <c r="F2" i="16" s="1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AB2" i="16" s="1"/>
  <c r="AC2" i="16" s="1"/>
  <c r="AD2" i="16" s="1"/>
  <c r="AE2" i="16" s="1"/>
  <c r="B17" i="16"/>
  <c r="B16" i="16"/>
  <c r="C16" i="16" s="1"/>
  <c r="D16" i="16" s="1"/>
  <c r="E16" i="16" s="1"/>
  <c r="F16" i="16" s="1"/>
  <c r="G16" i="16" s="1"/>
  <c r="H16" i="16" s="1"/>
  <c r="I16" i="16" s="1"/>
  <c r="J16" i="16" s="1"/>
  <c r="K16" i="16" s="1"/>
  <c r="L16" i="16" s="1"/>
  <c r="M16" i="16" s="1"/>
  <c r="N16" i="16" s="1"/>
  <c r="O16" i="16" s="1"/>
  <c r="P16" i="16" s="1"/>
  <c r="Q16" i="16" s="1"/>
  <c r="R16" i="16" s="1"/>
  <c r="S16" i="16" s="1"/>
  <c r="T16" i="16" s="1"/>
  <c r="U16" i="16" s="1"/>
  <c r="V16" i="16" s="1"/>
  <c r="W16" i="16" s="1"/>
  <c r="X16" i="16" s="1"/>
  <c r="Y16" i="16" s="1"/>
  <c r="Z16" i="16" s="1"/>
  <c r="AA16" i="16" s="1"/>
  <c r="AB16" i="16" s="1"/>
  <c r="AC16" i="16" s="1"/>
  <c r="AD16" i="16" s="1"/>
  <c r="AE16" i="16" s="1"/>
  <c r="B15" i="16"/>
  <c r="C15" i="16" s="1"/>
  <c r="D15" i="16" s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G6" i="3"/>
  <c r="B14" i="16"/>
  <c r="D42" i="19" l="1"/>
  <c r="D43" i="19" s="1"/>
  <c r="C42" i="19"/>
  <c r="C43" i="19" s="1"/>
  <c r="V4" i="16"/>
  <c r="W4" i="16" s="1"/>
  <c r="X4" i="16" s="1"/>
  <c r="Y4" i="16" s="1"/>
  <c r="Z4" i="16" s="1"/>
  <c r="E8" i="19"/>
  <c r="E14" i="19" s="1"/>
  <c r="G2" i="19"/>
  <c r="C13" i="17"/>
  <c r="D13" i="17" s="1"/>
  <c r="E13" i="17" s="1"/>
  <c r="F13" i="17" s="1"/>
  <c r="G13" i="17" s="1"/>
  <c r="H13" i="17" s="1"/>
  <c r="I13" i="17" s="1"/>
  <c r="J13" i="17" s="1"/>
  <c r="K13" i="17" s="1"/>
  <c r="L13" i="17" s="1"/>
  <c r="M13" i="17" s="1"/>
  <c r="N13" i="17" s="1"/>
  <c r="O13" i="17" s="1"/>
  <c r="P13" i="17" s="1"/>
  <c r="Q13" i="17" s="1"/>
  <c r="R13" i="17" s="1"/>
  <c r="S13" i="17" s="1"/>
  <c r="T13" i="17" s="1"/>
  <c r="U13" i="17" s="1"/>
  <c r="V13" i="17" s="1"/>
  <c r="W13" i="17" s="1"/>
  <c r="X13" i="17" s="1"/>
  <c r="Y13" i="17" s="1"/>
  <c r="Z13" i="17" s="1"/>
  <c r="AA13" i="17" s="1"/>
  <c r="AB13" i="17" s="1"/>
  <c r="AC13" i="17" s="1"/>
  <c r="AD13" i="17" s="1"/>
  <c r="AE13" i="17" s="1"/>
  <c r="B31" i="16"/>
  <c r="B32" i="16" s="1"/>
  <c r="B14" i="17"/>
  <c r="C8" i="17"/>
  <c r="B43" i="17"/>
  <c r="F2" i="17"/>
  <c r="C8" i="16"/>
  <c r="C31" i="16" s="1"/>
  <c r="F78" i="16"/>
  <c r="E77" i="16"/>
  <c r="C75" i="16"/>
  <c r="B74" i="16"/>
  <c r="A72" i="16"/>
  <c r="F70" i="16"/>
  <c r="E69" i="16"/>
  <c r="D68" i="16"/>
  <c r="C67" i="16"/>
  <c r="B66" i="16"/>
  <c r="A64" i="16"/>
  <c r="F62" i="16"/>
  <c r="E78" i="16"/>
  <c r="D77" i="16"/>
  <c r="C76" i="16"/>
  <c r="B75" i="16"/>
  <c r="A73" i="16"/>
  <c r="F71" i="16"/>
  <c r="E70" i="16"/>
  <c r="D69" i="16"/>
  <c r="C68" i="16"/>
  <c r="B67" i="16"/>
  <c r="A65" i="16"/>
  <c r="F63" i="16"/>
  <c r="E62" i="16"/>
  <c r="D78" i="16"/>
  <c r="C77" i="16"/>
  <c r="B76" i="16"/>
  <c r="A74" i="16"/>
  <c r="F72" i="16"/>
  <c r="E71" i="16"/>
  <c r="D70" i="16"/>
  <c r="C69" i="16"/>
  <c r="B68" i="16"/>
  <c r="A66" i="16"/>
  <c r="F64" i="16"/>
  <c r="E63" i="16"/>
  <c r="D62" i="16"/>
  <c r="C78" i="16"/>
  <c r="B77" i="16"/>
  <c r="A75" i="16"/>
  <c r="F73" i="16"/>
  <c r="E72" i="16"/>
  <c r="D71" i="16"/>
  <c r="C70" i="16"/>
  <c r="B69" i="16"/>
  <c r="A67" i="16"/>
  <c r="F65" i="16"/>
  <c r="E64" i="16"/>
  <c r="D63" i="16"/>
  <c r="C62" i="16"/>
  <c r="B78" i="16"/>
  <c r="A76" i="16"/>
  <c r="F74" i="16"/>
  <c r="E73" i="16"/>
  <c r="D72" i="16"/>
  <c r="C71" i="16"/>
  <c r="B70" i="16"/>
  <c r="A68" i="16"/>
  <c r="F66" i="16"/>
  <c r="E65" i="16"/>
  <c r="D64" i="16"/>
  <c r="C63" i="16"/>
  <c r="B62" i="16"/>
  <c r="A77" i="16"/>
  <c r="F75" i="16"/>
  <c r="E74" i="16"/>
  <c r="D73" i="16"/>
  <c r="C72" i="16"/>
  <c r="B71" i="16"/>
  <c r="A69" i="16"/>
  <c r="F67" i="16"/>
  <c r="E66" i="16"/>
  <c r="D65" i="16"/>
  <c r="C64" i="16"/>
  <c r="B63" i="16"/>
  <c r="A78" i="16"/>
  <c r="F76" i="16"/>
  <c r="E75" i="16"/>
  <c r="D74" i="16"/>
  <c r="C73" i="16"/>
  <c r="B72" i="16"/>
  <c r="A70" i="16"/>
  <c r="F68" i="16"/>
  <c r="E67" i="16"/>
  <c r="D66" i="16"/>
  <c r="C65" i="16"/>
  <c r="B64" i="16"/>
  <c r="A62" i="16"/>
  <c r="F77" i="16"/>
  <c r="E76" i="16"/>
  <c r="D75" i="16"/>
  <c r="C74" i="16"/>
  <c r="B73" i="16"/>
  <c r="A71" i="16"/>
  <c r="F69" i="16"/>
  <c r="E68" i="16"/>
  <c r="D67" i="16"/>
  <c r="C66" i="16"/>
  <c r="B65" i="16"/>
  <c r="A63" i="16"/>
  <c r="G7" i="3"/>
  <c r="G5" i="3"/>
  <c r="G4" i="3"/>
  <c r="AA4" i="16" l="1"/>
  <c r="AB4" i="16" s="1"/>
  <c r="AC4" i="16" s="1"/>
  <c r="AD4" i="16" s="1"/>
  <c r="AE4" i="16" s="1"/>
  <c r="C34" i="14" a="1"/>
  <c r="C34" i="14" s="1"/>
  <c r="C33" i="14"/>
  <c r="F8" i="19"/>
  <c r="F42" i="19" s="1"/>
  <c r="F43" i="19" s="1"/>
  <c r="E42" i="19"/>
  <c r="E43" i="19" s="1"/>
  <c r="B3" i="19"/>
  <c r="H2" i="19"/>
  <c r="C42" i="17"/>
  <c r="C43" i="17" s="1"/>
  <c r="B3" i="17"/>
  <c r="G10" i="3"/>
  <c r="AA12" i="17"/>
  <c r="S12" i="17"/>
  <c r="K12" i="17"/>
  <c r="C12" i="17"/>
  <c r="F12" i="17"/>
  <c r="T12" i="17"/>
  <c r="D12" i="17"/>
  <c r="Z12" i="17"/>
  <c r="R12" i="17"/>
  <c r="J12" i="17"/>
  <c r="B12" i="17"/>
  <c r="Y12" i="17"/>
  <c r="Q12" i="17"/>
  <c r="I12" i="17"/>
  <c r="AE12" i="17"/>
  <c r="O12" i="17"/>
  <c r="AB12" i="17"/>
  <c r="X12" i="17"/>
  <c r="P12" i="17"/>
  <c r="H12" i="17"/>
  <c r="W12" i="17"/>
  <c r="G12" i="17"/>
  <c r="V12" i="17"/>
  <c r="N12" i="17"/>
  <c r="AD12" i="17"/>
  <c r="AC12" i="17"/>
  <c r="M12" i="17"/>
  <c r="E12" i="17"/>
  <c r="L12" i="17"/>
  <c r="U12" i="17"/>
  <c r="C14" i="17"/>
  <c r="D8" i="17"/>
  <c r="G2" i="17"/>
  <c r="C32" i="16"/>
  <c r="D8" i="16"/>
  <c r="D31" i="16" s="1"/>
  <c r="C14" i="16"/>
  <c r="B3" i="16"/>
  <c r="H12" i="16"/>
  <c r="P12" i="16"/>
  <c r="X12" i="16"/>
  <c r="B12" i="16"/>
  <c r="Q12" i="16"/>
  <c r="Y12" i="16"/>
  <c r="J12" i="16"/>
  <c r="R12" i="16"/>
  <c r="Z12" i="16"/>
  <c r="S12" i="16"/>
  <c r="U12" i="16"/>
  <c r="AE12" i="16"/>
  <c r="I12" i="16"/>
  <c r="AA12" i="16"/>
  <c r="L12" i="16"/>
  <c r="T12" i="16"/>
  <c r="AB12" i="16"/>
  <c r="K12" i="16"/>
  <c r="C12" i="16"/>
  <c r="E12" i="16"/>
  <c r="M12" i="16"/>
  <c r="AC12" i="16"/>
  <c r="F12" i="16"/>
  <c r="N12" i="16"/>
  <c r="V12" i="16"/>
  <c r="AD12" i="16"/>
  <c r="G12" i="16"/>
  <c r="O12" i="16"/>
  <c r="W12" i="16"/>
  <c r="D12" i="16"/>
  <c r="D76" i="16"/>
  <c r="F44" i="19" l="1"/>
  <c r="F14" i="19"/>
  <c r="F38" i="19" s="1"/>
  <c r="G8" i="19"/>
  <c r="C38" i="17"/>
  <c r="N17" i="19"/>
  <c r="Y17" i="19"/>
  <c r="X17" i="19"/>
  <c r="W17" i="19"/>
  <c r="M17" i="19"/>
  <c r="H17" i="19"/>
  <c r="G17" i="19"/>
  <c r="C17" i="19"/>
  <c r="E17" i="19"/>
  <c r="P17" i="19"/>
  <c r="C47" i="19"/>
  <c r="T17" i="19"/>
  <c r="Q17" i="19"/>
  <c r="D19" i="19"/>
  <c r="Z17" i="19"/>
  <c r="K17" i="19"/>
  <c r="D47" i="19"/>
  <c r="R17" i="19"/>
  <c r="S17" i="19"/>
  <c r="B19" i="19"/>
  <c r="D38" i="19"/>
  <c r="I17" i="19"/>
  <c r="B38" i="19"/>
  <c r="B17" i="19"/>
  <c r="O17" i="19"/>
  <c r="C19" i="19"/>
  <c r="U17" i="19"/>
  <c r="D17" i="19"/>
  <c r="C38" i="19"/>
  <c r="J17" i="19"/>
  <c r="F17" i="19"/>
  <c r="L17" i="19"/>
  <c r="V17" i="19"/>
  <c r="B47" i="19"/>
  <c r="E38" i="19"/>
  <c r="E19" i="19"/>
  <c r="E47" i="19"/>
  <c r="I2" i="19"/>
  <c r="D42" i="17"/>
  <c r="D43" i="17" s="1"/>
  <c r="C17" i="17"/>
  <c r="B17" i="17"/>
  <c r="B38" i="17"/>
  <c r="E17" i="17"/>
  <c r="B47" i="17"/>
  <c r="W17" i="17"/>
  <c r="V17" i="17"/>
  <c r="N17" i="17"/>
  <c r="S17" i="17"/>
  <c r="J17" i="17"/>
  <c r="B19" i="17"/>
  <c r="Y17" i="17"/>
  <c r="M17" i="17"/>
  <c r="I17" i="17"/>
  <c r="H17" i="17"/>
  <c r="T17" i="17"/>
  <c r="O17" i="17"/>
  <c r="Q17" i="17"/>
  <c r="L17" i="17"/>
  <c r="G17" i="17"/>
  <c r="U17" i="17"/>
  <c r="D17" i="17"/>
  <c r="F17" i="17"/>
  <c r="X17" i="17"/>
  <c r="K17" i="17"/>
  <c r="R17" i="17"/>
  <c r="Z17" i="17"/>
  <c r="P17" i="17"/>
  <c r="C19" i="17"/>
  <c r="C36" i="16"/>
  <c r="H2" i="17"/>
  <c r="C47" i="17"/>
  <c r="E8" i="17"/>
  <c r="D14" i="17"/>
  <c r="D38" i="17" s="1"/>
  <c r="B19" i="16"/>
  <c r="B36" i="16"/>
  <c r="E8" i="16"/>
  <c r="E31" i="16" s="1"/>
  <c r="D32" i="16"/>
  <c r="C19" i="16"/>
  <c r="D14" i="16"/>
  <c r="D19" i="16" s="1"/>
  <c r="D15" i="3"/>
  <c r="E16" i="3"/>
  <c r="F17" i="3"/>
  <c r="G18" i="3"/>
  <c r="H19" i="3"/>
  <c r="I20" i="3"/>
  <c r="J21" i="3"/>
  <c r="D23" i="3"/>
  <c r="E24" i="3"/>
  <c r="F25" i="3"/>
  <c r="G26" i="3"/>
  <c r="H27" i="3"/>
  <c r="I28" i="3"/>
  <c r="J29" i="3"/>
  <c r="D31" i="3"/>
  <c r="E32" i="3"/>
  <c r="F33" i="3"/>
  <c r="G34" i="3"/>
  <c r="H35" i="3"/>
  <c r="I36" i="3"/>
  <c r="J37" i="3"/>
  <c r="D39" i="3"/>
  <c r="E40" i="3"/>
  <c r="F41" i="3"/>
  <c r="G42" i="3"/>
  <c r="H43" i="3"/>
  <c r="I44" i="3"/>
  <c r="J45" i="3"/>
  <c r="D47" i="3"/>
  <c r="E48" i="3"/>
  <c r="F49" i="3"/>
  <c r="G50" i="3"/>
  <c r="H51" i="3"/>
  <c r="I52" i="3"/>
  <c r="J53" i="3"/>
  <c r="D55" i="3"/>
  <c r="E56" i="3"/>
  <c r="F57" i="3"/>
  <c r="G58" i="3"/>
  <c r="H59" i="3"/>
  <c r="I60" i="3"/>
  <c r="J61" i="3"/>
  <c r="D63" i="3"/>
  <c r="E64" i="3"/>
  <c r="F65" i="3"/>
  <c r="G66" i="3"/>
  <c r="H67" i="3"/>
  <c r="I68" i="3"/>
  <c r="J69" i="3"/>
  <c r="D71" i="3"/>
  <c r="E72" i="3"/>
  <c r="F73" i="3"/>
  <c r="G74" i="3"/>
  <c r="H75" i="3"/>
  <c r="I76" i="3"/>
  <c r="J77" i="3"/>
  <c r="D79" i="3"/>
  <c r="E80" i="3"/>
  <c r="F81" i="3"/>
  <c r="G82" i="3"/>
  <c r="H83" i="3"/>
  <c r="I84" i="3"/>
  <c r="J85" i="3"/>
  <c r="D87" i="3"/>
  <c r="E88" i="3"/>
  <c r="F89" i="3"/>
  <c r="G90" i="3"/>
  <c r="H91" i="3"/>
  <c r="I92" i="3"/>
  <c r="J93" i="3"/>
  <c r="D95" i="3"/>
  <c r="E96" i="3"/>
  <c r="F97" i="3"/>
  <c r="G98" i="3"/>
  <c r="H99" i="3"/>
  <c r="I100" i="3"/>
  <c r="J101" i="3"/>
  <c r="D103" i="3"/>
  <c r="E104" i="3"/>
  <c r="E15" i="3"/>
  <c r="F16" i="3"/>
  <c r="G17" i="3"/>
  <c r="H18" i="3"/>
  <c r="I19" i="3"/>
  <c r="J20" i="3"/>
  <c r="D22" i="3"/>
  <c r="E23" i="3"/>
  <c r="F24" i="3"/>
  <c r="G25" i="3"/>
  <c r="H26" i="3"/>
  <c r="I27" i="3"/>
  <c r="J28" i="3"/>
  <c r="D30" i="3"/>
  <c r="E31" i="3"/>
  <c r="F32" i="3"/>
  <c r="G33" i="3"/>
  <c r="H34" i="3"/>
  <c r="I35" i="3"/>
  <c r="J36" i="3"/>
  <c r="D38" i="3"/>
  <c r="E39" i="3"/>
  <c r="F40" i="3"/>
  <c r="G41" i="3"/>
  <c r="H42" i="3"/>
  <c r="I43" i="3"/>
  <c r="J44" i="3"/>
  <c r="D46" i="3"/>
  <c r="E47" i="3"/>
  <c r="F48" i="3"/>
  <c r="G49" i="3"/>
  <c r="H50" i="3"/>
  <c r="I51" i="3"/>
  <c r="J52" i="3"/>
  <c r="D54" i="3"/>
  <c r="E55" i="3"/>
  <c r="F56" i="3"/>
  <c r="G57" i="3"/>
  <c r="H58" i="3"/>
  <c r="I59" i="3"/>
  <c r="J60" i="3"/>
  <c r="D62" i="3"/>
  <c r="E63" i="3"/>
  <c r="F64" i="3"/>
  <c r="G65" i="3"/>
  <c r="H66" i="3"/>
  <c r="I67" i="3"/>
  <c r="J68" i="3"/>
  <c r="D70" i="3"/>
  <c r="E71" i="3"/>
  <c r="F72" i="3"/>
  <c r="G73" i="3"/>
  <c r="H74" i="3"/>
  <c r="I75" i="3"/>
  <c r="J76" i="3"/>
  <c r="D78" i="3"/>
  <c r="E79" i="3"/>
  <c r="F80" i="3"/>
  <c r="G81" i="3"/>
  <c r="H82" i="3"/>
  <c r="I83" i="3"/>
  <c r="J84" i="3"/>
  <c r="D86" i="3"/>
  <c r="E87" i="3"/>
  <c r="F88" i="3"/>
  <c r="G89" i="3"/>
  <c r="H90" i="3"/>
  <c r="I91" i="3"/>
  <c r="J92" i="3"/>
  <c r="D94" i="3"/>
  <c r="E95" i="3"/>
  <c r="F96" i="3"/>
  <c r="F15" i="3"/>
  <c r="G16" i="3"/>
  <c r="H17" i="3"/>
  <c r="I18" i="3"/>
  <c r="J19" i="3"/>
  <c r="D21" i="3"/>
  <c r="E22" i="3"/>
  <c r="F23" i="3"/>
  <c r="G24" i="3"/>
  <c r="H25" i="3"/>
  <c r="I26" i="3"/>
  <c r="J27" i="3"/>
  <c r="D29" i="3"/>
  <c r="E30" i="3"/>
  <c r="F31" i="3"/>
  <c r="G32" i="3"/>
  <c r="H33" i="3"/>
  <c r="I34" i="3"/>
  <c r="J35" i="3"/>
  <c r="D37" i="3"/>
  <c r="E38" i="3"/>
  <c r="F39" i="3"/>
  <c r="G40" i="3"/>
  <c r="H41" i="3"/>
  <c r="I42" i="3"/>
  <c r="J43" i="3"/>
  <c r="D45" i="3"/>
  <c r="E46" i="3"/>
  <c r="F47" i="3"/>
  <c r="G48" i="3"/>
  <c r="H49" i="3"/>
  <c r="I50" i="3"/>
  <c r="J51" i="3"/>
  <c r="D53" i="3"/>
  <c r="E54" i="3"/>
  <c r="F55" i="3"/>
  <c r="G56" i="3"/>
  <c r="H57" i="3"/>
  <c r="I58" i="3"/>
  <c r="J59" i="3"/>
  <c r="D61" i="3"/>
  <c r="E62" i="3"/>
  <c r="F63" i="3"/>
  <c r="G64" i="3"/>
  <c r="H65" i="3"/>
  <c r="I66" i="3"/>
  <c r="J67" i="3"/>
  <c r="D69" i="3"/>
  <c r="E70" i="3"/>
  <c r="F71" i="3"/>
  <c r="G72" i="3"/>
  <c r="H73" i="3"/>
  <c r="I74" i="3"/>
  <c r="J75" i="3"/>
  <c r="D77" i="3"/>
  <c r="E78" i="3"/>
  <c r="F79" i="3"/>
  <c r="G80" i="3"/>
  <c r="H81" i="3"/>
  <c r="I82" i="3"/>
  <c r="J83" i="3"/>
  <c r="D85" i="3"/>
  <c r="E86" i="3"/>
  <c r="F87" i="3"/>
  <c r="G88" i="3"/>
  <c r="H89" i="3"/>
  <c r="I90" i="3"/>
  <c r="J91" i="3"/>
  <c r="D93" i="3"/>
  <c r="E94" i="3"/>
  <c r="F95" i="3"/>
  <c r="G96" i="3"/>
  <c r="H97" i="3"/>
  <c r="G15" i="3"/>
  <c r="H16" i="3"/>
  <c r="I17" i="3"/>
  <c r="J18" i="3"/>
  <c r="D20" i="3"/>
  <c r="E21" i="3"/>
  <c r="F22" i="3"/>
  <c r="G23" i="3"/>
  <c r="H24" i="3"/>
  <c r="I25" i="3"/>
  <c r="J26" i="3"/>
  <c r="D28" i="3"/>
  <c r="E29" i="3"/>
  <c r="F30" i="3"/>
  <c r="G31" i="3"/>
  <c r="H32" i="3"/>
  <c r="I33" i="3"/>
  <c r="J34" i="3"/>
  <c r="D36" i="3"/>
  <c r="E37" i="3"/>
  <c r="F38" i="3"/>
  <c r="G39" i="3"/>
  <c r="H40" i="3"/>
  <c r="I41" i="3"/>
  <c r="J42" i="3"/>
  <c r="D44" i="3"/>
  <c r="E45" i="3"/>
  <c r="F46" i="3"/>
  <c r="G47" i="3"/>
  <c r="H48" i="3"/>
  <c r="I49" i="3"/>
  <c r="J50" i="3"/>
  <c r="D52" i="3"/>
  <c r="E53" i="3"/>
  <c r="F54" i="3"/>
  <c r="G55" i="3"/>
  <c r="H56" i="3"/>
  <c r="I57" i="3"/>
  <c r="J58" i="3"/>
  <c r="D60" i="3"/>
  <c r="E61" i="3"/>
  <c r="F62" i="3"/>
  <c r="G63" i="3"/>
  <c r="H64" i="3"/>
  <c r="H15" i="3"/>
  <c r="I16" i="3"/>
  <c r="J17" i="3"/>
  <c r="D19" i="3"/>
  <c r="E20" i="3"/>
  <c r="F21" i="3"/>
  <c r="G22" i="3"/>
  <c r="H23" i="3"/>
  <c r="I24" i="3"/>
  <c r="J25" i="3"/>
  <c r="D27" i="3"/>
  <c r="E28" i="3"/>
  <c r="F29" i="3"/>
  <c r="G30" i="3"/>
  <c r="H31" i="3"/>
  <c r="I32" i="3"/>
  <c r="J33" i="3"/>
  <c r="D35" i="3"/>
  <c r="E36" i="3"/>
  <c r="F37" i="3"/>
  <c r="G38" i="3"/>
  <c r="H39" i="3"/>
  <c r="I40" i="3"/>
  <c r="J41" i="3"/>
  <c r="D43" i="3"/>
  <c r="E44" i="3"/>
  <c r="F45" i="3"/>
  <c r="G46" i="3"/>
  <c r="H47" i="3"/>
  <c r="I48" i="3"/>
  <c r="J49" i="3"/>
  <c r="D51" i="3"/>
  <c r="E52" i="3"/>
  <c r="F53" i="3"/>
  <c r="G54" i="3"/>
  <c r="H55" i="3"/>
  <c r="I56" i="3"/>
  <c r="J57" i="3"/>
  <c r="D59" i="3"/>
  <c r="E60" i="3"/>
  <c r="F61" i="3"/>
  <c r="G62" i="3"/>
  <c r="H63" i="3"/>
  <c r="I64" i="3"/>
  <c r="J65" i="3"/>
  <c r="D67" i="3"/>
  <c r="E68" i="3"/>
  <c r="F69" i="3"/>
  <c r="G70" i="3"/>
  <c r="H71" i="3"/>
  <c r="I72" i="3"/>
  <c r="J73" i="3"/>
  <c r="D75" i="3"/>
  <c r="E76" i="3"/>
  <c r="F77" i="3"/>
  <c r="G78" i="3"/>
  <c r="H79" i="3"/>
  <c r="I80" i="3"/>
  <c r="J81" i="3"/>
  <c r="D83" i="3"/>
  <c r="E84" i="3"/>
  <c r="F85" i="3"/>
  <c r="G86" i="3"/>
  <c r="H87" i="3"/>
  <c r="I88" i="3"/>
  <c r="J89" i="3"/>
  <c r="D91" i="3"/>
  <c r="E92" i="3"/>
  <c r="F93" i="3"/>
  <c r="G94" i="3"/>
  <c r="H95" i="3"/>
  <c r="I96" i="3"/>
  <c r="J97" i="3"/>
  <c r="D99" i="3"/>
  <c r="E100" i="3"/>
  <c r="F101" i="3"/>
  <c r="G102" i="3"/>
  <c r="H103" i="3"/>
  <c r="I104" i="3"/>
  <c r="J105" i="3"/>
  <c r="D107" i="3"/>
  <c r="E108" i="3"/>
  <c r="F109" i="3"/>
  <c r="G110" i="3"/>
  <c r="I15" i="3"/>
  <c r="J16" i="3"/>
  <c r="D18" i="3"/>
  <c r="E19" i="3"/>
  <c r="F20" i="3"/>
  <c r="G21" i="3"/>
  <c r="H22" i="3"/>
  <c r="I23" i="3"/>
  <c r="J24" i="3"/>
  <c r="D26" i="3"/>
  <c r="E27" i="3"/>
  <c r="F28" i="3"/>
  <c r="G29" i="3"/>
  <c r="H30" i="3"/>
  <c r="I31" i="3"/>
  <c r="J32" i="3"/>
  <c r="D34" i="3"/>
  <c r="E35" i="3"/>
  <c r="F36" i="3"/>
  <c r="G37" i="3"/>
  <c r="H38" i="3"/>
  <c r="I39" i="3"/>
  <c r="J40" i="3"/>
  <c r="D42" i="3"/>
  <c r="E43" i="3"/>
  <c r="F44" i="3"/>
  <c r="G45" i="3"/>
  <c r="H46" i="3"/>
  <c r="I47" i="3"/>
  <c r="J48" i="3"/>
  <c r="D50" i="3"/>
  <c r="E51" i="3"/>
  <c r="F52" i="3"/>
  <c r="G53" i="3"/>
  <c r="H54" i="3"/>
  <c r="I55" i="3"/>
  <c r="J56" i="3"/>
  <c r="D58" i="3"/>
  <c r="E59" i="3"/>
  <c r="F60" i="3"/>
  <c r="G61" i="3"/>
  <c r="H62" i="3"/>
  <c r="I63" i="3"/>
  <c r="J64" i="3"/>
  <c r="D66" i="3"/>
  <c r="E67" i="3"/>
  <c r="F68" i="3"/>
  <c r="G69" i="3"/>
  <c r="H70" i="3"/>
  <c r="I71" i="3"/>
  <c r="J72" i="3"/>
  <c r="D74" i="3"/>
  <c r="E75" i="3"/>
  <c r="F76" i="3"/>
  <c r="G77" i="3"/>
  <c r="H78" i="3"/>
  <c r="I79" i="3"/>
  <c r="J80" i="3"/>
  <c r="D82" i="3"/>
  <c r="E83" i="3"/>
  <c r="F84" i="3"/>
  <c r="G85" i="3"/>
  <c r="H86" i="3"/>
  <c r="I87" i="3"/>
  <c r="J88" i="3"/>
  <c r="J15" i="3"/>
  <c r="D17" i="3"/>
  <c r="E18" i="3"/>
  <c r="F19" i="3"/>
  <c r="G20" i="3"/>
  <c r="H21" i="3"/>
  <c r="I22" i="3"/>
  <c r="J23" i="3"/>
  <c r="D25" i="3"/>
  <c r="E26" i="3"/>
  <c r="F27" i="3"/>
  <c r="G28" i="3"/>
  <c r="H29" i="3"/>
  <c r="I30" i="3"/>
  <c r="J31" i="3"/>
  <c r="D33" i="3"/>
  <c r="E34" i="3"/>
  <c r="F35" i="3"/>
  <c r="G36" i="3"/>
  <c r="H37" i="3"/>
  <c r="I38" i="3"/>
  <c r="J39" i="3"/>
  <c r="D41" i="3"/>
  <c r="E42" i="3"/>
  <c r="F43" i="3"/>
  <c r="G44" i="3"/>
  <c r="H45" i="3"/>
  <c r="I46" i="3"/>
  <c r="J47" i="3"/>
  <c r="D49" i="3"/>
  <c r="E50" i="3"/>
  <c r="F51" i="3"/>
  <c r="G52" i="3"/>
  <c r="H53" i="3"/>
  <c r="I54" i="3"/>
  <c r="J55" i="3"/>
  <c r="D57" i="3"/>
  <c r="E58" i="3"/>
  <c r="F59" i="3"/>
  <c r="G60" i="3"/>
  <c r="H61" i="3"/>
  <c r="I62" i="3"/>
  <c r="J63" i="3"/>
  <c r="D65" i="3"/>
  <c r="E66" i="3"/>
  <c r="F67" i="3"/>
  <c r="G68" i="3"/>
  <c r="H69" i="3"/>
  <c r="I70" i="3"/>
  <c r="J71" i="3"/>
  <c r="D73" i="3"/>
  <c r="E74" i="3"/>
  <c r="F75" i="3"/>
  <c r="G76" i="3"/>
  <c r="H77" i="3"/>
  <c r="I78" i="3"/>
  <c r="J79" i="3"/>
  <c r="D81" i="3"/>
  <c r="E82" i="3"/>
  <c r="F83" i="3"/>
  <c r="G84" i="3"/>
  <c r="H85" i="3"/>
  <c r="I86" i="3"/>
  <c r="G19" i="3"/>
  <c r="H28" i="3"/>
  <c r="I37" i="3"/>
  <c r="J46" i="3"/>
  <c r="D56" i="3"/>
  <c r="E65" i="3"/>
  <c r="I69" i="3"/>
  <c r="F74" i="3"/>
  <c r="J78" i="3"/>
  <c r="G83" i="3"/>
  <c r="J87" i="3"/>
  <c r="F90" i="3"/>
  <c r="H92" i="3"/>
  <c r="J94" i="3"/>
  <c r="E97" i="3"/>
  <c r="J98" i="3"/>
  <c r="G100" i="3"/>
  <c r="D102" i="3"/>
  <c r="G103" i="3"/>
  <c r="D105" i="3"/>
  <c r="F106" i="3"/>
  <c r="H107" i="3"/>
  <c r="J108" i="3"/>
  <c r="E110" i="3"/>
  <c r="G111" i="3"/>
  <c r="H112" i="3"/>
  <c r="I113" i="3"/>
  <c r="J114" i="3"/>
  <c r="D116" i="3"/>
  <c r="E117" i="3"/>
  <c r="F118" i="3"/>
  <c r="G119" i="3"/>
  <c r="H120" i="3"/>
  <c r="I121" i="3"/>
  <c r="J122" i="3"/>
  <c r="D124" i="3"/>
  <c r="E125" i="3"/>
  <c r="F126" i="3"/>
  <c r="G127" i="3"/>
  <c r="H128" i="3"/>
  <c r="I129" i="3"/>
  <c r="J130" i="3"/>
  <c r="D132" i="3"/>
  <c r="E133" i="3"/>
  <c r="F134" i="3"/>
  <c r="G135" i="3"/>
  <c r="H136" i="3"/>
  <c r="I137" i="3"/>
  <c r="J138" i="3"/>
  <c r="D140" i="3"/>
  <c r="E141" i="3"/>
  <c r="F142" i="3"/>
  <c r="G143" i="3"/>
  <c r="H144" i="3"/>
  <c r="I145" i="3"/>
  <c r="J146" i="3"/>
  <c r="D148" i="3"/>
  <c r="E149" i="3"/>
  <c r="F150" i="3"/>
  <c r="G151" i="3"/>
  <c r="H152" i="3"/>
  <c r="I153" i="3"/>
  <c r="J154" i="3"/>
  <c r="D156" i="3"/>
  <c r="E157" i="3"/>
  <c r="F158" i="3"/>
  <c r="G159" i="3"/>
  <c r="H160" i="3"/>
  <c r="I161" i="3"/>
  <c r="J162" i="3"/>
  <c r="D164" i="3"/>
  <c r="E165" i="3"/>
  <c r="F166" i="3"/>
  <c r="G167" i="3"/>
  <c r="H168" i="3"/>
  <c r="I169" i="3"/>
  <c r="J170" i="3"/>
  <c r="D172" i="3"/>
  <c r="E173" i="3"/>
  <c r="F174" i="3"/>
  <c r="G175" i="3"/>
  <c r="H176" i="3"/>
  <c r="I177" i="3"/>
  <c r="J178" i="3"/>
  <c r="D180" i="3"/>
  <c r="H20" i="3"/>
  <c r="I29" i="3"/>
  <c r="J38" i="3"/>
  <c r="D48" i="3"/>
  <c r="E57" i="3"/>
  <c r="I65" i="3"/>
  <c r="F70" i="3"/>
  <c r="J74" i="3"/>
  <c r="G79" i="3"/>
  <c r="D84" i="3"/>
  <c r="D88" i="3"/>
  <c r="J90" i="3"/>
  <c r="E93" i="3"/>
  <c r="G95" i="3"/>
  <c r="G97" i="3"/>
  <c r="E99" i="3"/>
  <c r="H100" i="3"/>
  <c r="E102" i="3"/>
  <c r="I103" i="3"/>
  <c r="E105" i="3"/>
  <c r="G106" i="3"/>
  <c r="I107" i="3"/>
  <c r="D109" i="3"/>
  <c r="F110" i="3"/>
  <c r="H111" i="3"/>
  <c r="I112" i="3"/>
  <c r="J113" i="3"/>
  <c r="D115" i="3"/>
  <c r="E116" i="3"/>
  <c r="F117" i="3"/>
  <c r="G118" i="3"/>
  <c r="H119" i="3"/>
  <c r="I120" i="3"/>
  <c r="J121" i="3"/>
  <c r="D123" i="3"/>
  <c r="E124" i="3"/>
  <c r="I21" i="3"/>
  <c r="J30" i="3"/>
  <c r="D40" i="3"/>
  <c r="E49" i="3"/>
  <c r="F58" i="3"/>
  <c r="F66" i="3"/>
  <c r="J70" i="3"/>
  <c r="G75" i="3"/>
  <c r="D80" i="3"/>
  <c r="H84" i="3"/>
  <c r="H88" i="3"/>
  <c r="E91" i="3"/>
  <c r="G93" i="3"/>
  <c r="I95" i="3"/>
  <c r="I97" i="3"/>
  <c r="F99" i="3"/>
  <c r="J100" i="3"/>
  <c r="F102" i="3"/>
  <c r="J103" i="3"/>
  <c r="F105" i="3"/>
  <c r="H106" i="3"/>
  <c r="J107" i="3"/>
  <c r="E109" i="3"/>
  <c r="H110" i="3"/>
  <c r="I111" i="3"/>
  <c r="J112" i="3"/>
  <c r="D114" i="3"/>
  <c r="E115" i="3"/>
  <c r="F116" i="3"/>
  <c r="G117" i="3"/>
  <c r="H118" i="3"/>
  <c r="I119" i="3"/>
  <c r="J120" i="3"/>
  <c r="D122" i="3"/>
  <c r="E123" i="3"/>
  <c r="F124" i="3"/>
  <c r="J22" i="3"/>
  <c r="D32" i="3"/>
  <c r="E41" i="3"/>
  <c r="F50" i="3"/>
  <c r="G59" i="3"/>
  <c r="J66" i="3"/>
  <c r="G71" i="3"/>
  <c r="D76" i="3"/>
  <c r="H80" i="3"/>
  <c r="E85" i="3"/>
  <c r="D89" i="3"/>
  <c r="F91" i="3"/>
  <c r="H93" i="3"/>
  <c r="J95" i="3"/>
  <c r="D98" i="3"/>
  <c r="G99" i="3"/>
  <c r="D101" i="3"/>
  <c r="H102" i="3"/>
  <c r="D104" i="3"/>
  <c r="G105" i="3"/>
  <c r="I106" i="3"/>
  <c r="D108" i="3"/>
  <c r="G109" i="3"/>
  <c r="I110" i="3"/>
  <c r="J111" i="3"/>
  <c r="D113" i="3"/>
  <c r="E114" i="3"/>
  <c r="F115" i="3"/>
  <c r="G116" i="3"/>
  <c r="H117" i="3"/>
  <c r="I118" i="3"/>
  <c r="J119" i="3"/>
  <c r="D121" i="3"/>
  <c r="E122" i="3"/>
  <c r="F123" i="3"/>
  <c r="G124" i="3"/>
  <c r="H125" i="3"/>
  <c r="I126" i="3"/>
  <c r="J127" i="3"/>
  <c r="D129" i="3"/>
  <c r="E130" i="3"/>
  <c r="F131" i="3"/>
  <c r="G132" i="3"/>
  <c r="H133" i="3"/>
  <c r="I134" i="3"/>
  <c r="J135" i="3"/>
  <c r="D137" i="3"/>
  <c r="G12" i="3"/>
  <c r="G11" i="3" s="1"/>
  <c r="C32" i="14" s="1"/>
  <c r="D24" i="3"/>
  <c r="E33" i="3"/>
  <c r="F42" i="3"/>
  <c r="G51" i="3"/>
  <c r="H60" i="3"/>
  <c r="G67" i="3"/>
  <c r="D72" i="3"/>
  <c r="H76" i="3"/>
  <c r="E81" i="3"/>
  <c r="I85" i="3"/>
  <c r="E89" i="3"/>
  <c r="G91" i="3"/>
  <c r="I93" i="3"/>
  <c r="D96" i="3"/>
  <c r="E98" i="3"/>
  <c r="I99" i="3"/>
  <c r="E101" i="3"/>
  <c r="I102" i="3"/>
  <c r="F104" i="3"/>
  <c r="H105" i="3"/>
  <c r="J106" i="3"/>
  <c r="F108" i="3"/>
  <c r="H109" i="3"/>
  <c r="J110" i="3"/>
  <c r="D112" i="3"/>
  <c r="E113" i="3"/>
  <c r="F114" i="3"/>
  <c r="D16" i="3"/>
  <c r="E25" i="3"/>
  <c r="F34" i="3"/>
  <c r="G43" i="3"/>
  <c r="H52" i="3"/>
  <c r="I61" i="3"/>
  <c r="D68" i="3"/>
  <c r="H72" i="3"/>
  <c r="E77" i="3"/>
  <c r="I81" i="3"/>
  <c r="F86" i="3"/>
  <c r="I89" i="3"/>
  <c r="D92" i="3"/>
  <c r="F94" i="3"/>
  <c r="H96" i="3"/>
  <c r="F98" i="3"/>
  <c r="J99" i="3"/>
  <c r="G101" i="3"/>
  <c r="J102" i="3"/>
  <c r="G104" i="3"/>
  <c r="I105" i="3"/>
  <c r="E107" i="3"/>
  <c r="G108" i="3"/>
  <c r="I109" i="3"/>
  <c r="D111" i="3"/>
  <c r="E112" i="3"/>
  <c r="F113" i="3"/>
  <c r="G114" i="3"/>
  <c r="G35" i="3"/>
  <c r="H68" i="3"/>
  <c r="J86" i="3"/>
  <c r="J96" i="3"/>
  <c r="E103" i="3"/>
  <c r="H108" i="3"/>
  <c r="G113" i="3"/>
  <c r="H116" i="3"/>
  <c r="J118" i="3"/>
  <c r="E121" i="3"/>
  <c r="G123" i="3"/>
  <c r="F125" i="3"/>
  <c r="J126" i="3"/>
  <c r="F128" i="3"/>
  <c r="J129" i="3"/>
  <c r="G131" i="3"/>
  <c r="J132" i="3"/>
  <c r="G134" i="3"/>
  <c r="D136" i="3"/>
  <c r="G137" i="3"/>
  <c r="I138" i="3"/>
  <c r="E140" i="3"/>
  <c r="G141" i="3"/>
  <c r="I142" i="3"/>
  <c r="D144" i="3"/>
  <c r="F145" i="3"/>
  <c r="H146" i="3"/>
  <c r="J147" i="3"/>
  <c r="F149" i="3"/>
  <c r="H150" i="3"/>
  <c r="J151" i="3"/>
  <c r="E153" i="3"/>
  <c r="G154" i="3"/>
  <c r="I155" i="3"/>
  <c r="D157" i="3"/>
  <c r="G158" i="3"/>
  <c r="I159" i="3"/>
  <c r="D161" i="3"/>
  <c r="F162" i="3"/>
  <c r="H163" i="3"/>
  <c r="J164" i="3"/>
  <c r="E166" i="3"/>
  <c r="H167" i="3"/>
  <c r="J168" i="3"/>
  <c r="E170" i="3"/>
  <c r="G171" i="3"/>
  <c r="I172" i="3"/>
  <c r="D174" i="3"/>
  <c r="F175" i="3"/>
  <c r="I176" i="3"/>
  <c r="D178" i="3"/>
  <c r="F179" i="3"/>
  <c r="H180" i="3"/>
  <c r="I181" i="3"/>
  <c r="J182" i="3"/>
  <c r="D184" i="3"/>
  <c r="E185" i="3"/>
  <c r="F186" i="3"/>
  <c r="G187" i="3"/>
  <c r="H188" i="3"/>
  <c r="I189" i="3"/>
  <c r="J190" i="3"/>
  <c r="D192" i="3"/>
  <c r="E193" i="3"/>
  <c r="F194" i="3"/>
  <c r="G195" i="3"/>
  <c r="H196" i="3"/>
  <c r="I197" i="3"/>
  <c r="J198" i="3"/>
  <c r="D200" i="3"/>
  <c r="E201" i="3"/>
  <c r="F202" i="3"/>
  <c r="G203" i="3"/>
  <c r="H204" i="3"/>
  <c r="I205" i="3"/>
  <c r="J206" i="3"/>
  <c r="D208" i="3"/>
  <c r="E209" i="3"/>
  <c r="F210" i="3"/>
  <c r="G211" i="3"/>
  <c r="H212" i="3"/>
  <c r="I213" i="3"/>
  <c r="J214" i="3"/>
  <c r="D216" i="3"/>
  <c r="E217" i="3"/>
  <c r="F218" i="3"/>
  <c r="G219" i="3"/>
  <c r="H220" i="3"/>
  <c r="I221" i="3"/>
  <c r="J222" i="3"/>
  <c r="D224" i="3"/>
  <c r="E225" i="3"/>
  <c r="F226" i="3"/>
  <c r="G227" i="3"/>
  <c r="H228" i="3"/>
  <c r="I229" i="3"/>
  <c r="J230" i="3"/>
  <c r="D232" i="3"/>
  <c r="E233" i="3"/>
  <c r="F234" i="3"/>
  <c r="G235" i="3"/>
  <c r="H236" i="3"/>
  <c r="I237" i="3"/>
  <c r="J238" i="3"/>
  <c r="D240" i="3"/>
  <c r="E241" i="3"/>
  <c r="F242" i="3"/>
  <c r="G243" i="3"/>
  <c r="H244" i="3"/>
  <c r="I245" i="3"/>
  <c r="J246" i="3"/>
  <c r="D248" i="3"/>
  <c r="E249" i="3"/>
  <c r="F250" i="3"/>
  <c r="G251" i="3"/>
  <c r="H252" i="3"/>
  <c r="I253" i="3"/>
  <c r="J254" i="3"/>
  <c r="D256" i="3"/>
  <c r="E257" i="3"/>
  <c r="F258" i="3"/>
  <c r="G259" i="3"/>
  <c r="H260" i="3"/>
  <c r="I261" i="3"/>
  <c r="J262" i="3"/>
  <c r="D264" i="3"/>
  <c r="E265" i="3"/>
  <c r="F266" i="3"/>
  <c r="G267" i="3"/>
  <c r="H268" i="3"/>
  <c r="I269" i="3"/>
  <c r="J270" i="3"/>
  <c r="D272" i="3"/>
  <c r="E273" i="3"/>
  <c r="F274" i="3"/>
  <c r="G275" i="3"/>
  <c r="H276" i="3"/>
  <c r="I277" i="3"/>
  <c r="J278" i="3"/>
  <c r="D280" i="3"/>
  <c r="E281" i="3"/>
  <c r="F282" i="3"/>
  <c r="G283" i="3"/>
  <c r="H284" i="3"/>
  <c r="I285" i="3"/>
  <c r="J286" i="3"/>
  <c r="D288" i="3"/>
  <c r="E289" i="3"/>
  <c r="F290" i="3"/>
  <c r="G291" i="3"/>
  <c r="H292" i="3"/>
  <c r="I293" i="3"/>
  <c r="J294" i="3"/>
  <c r="D296" i="3"/>
  <c r="E297" i="3"/>
  <c r="F298" i="3"/>
  <c r="G299" i="3"/>
  <c r="H300" i="3"/>
  <c r="I301" i="3"/>
  <c r="J302" i="3"/>
  <c r="D304" i="3"/>
  <c r="E305" i="3"/>
  <c r="F306" i="3"/>
  <c r="G307" i="3"/>
  <c r="H308" i="3"/>
  <c r="I309" i="3"/>
  <c r="J310" i="3"/>
  <c r="D312" i="3"/>
  <c r="E313" i="3"/>
  <c r="F314" i="3"/>
  <c r="H36" i="3"/>
  <c r="E69" i="3"/>
  <c r="G87" i="3"/>
  <c r="D97" i="3"/>
  <c r="F103" i="3"/>
  <c r="I108" i="3"/>
  <c r="H113" i="3"/>
  <c r="I116" i="3"/>
  <c r="D119" i="3"/>
  <c r="F121" i="3"/>
  <c r="H123" i="3"/>
  <c r="G125" i="3"/>
  <c r="D127" i="3"/>
  <c r="G128" i="3"/>
  <c r="D130" i="3"/>
  <c r="H131" i="3"/>
  <c r="D133" i="3"/>
  <c r="H134" i="3"/>
  <c r="E136" i="3"/>
  <c r="H137" i="3"/>
  <c r="D139" i="3"/>
  <c r="F140" i="3"/>
  <c r="H141" i="3"/>
  <c r="J142" i="3"/>
  <c r="E144" i="3"/>
  <c r="G145" i="3"/>
  <c r="I146" i="3"/>
  <c r="E148" i="3"/>
  <c r="G149" i="3"/>
  <c r="I150" i="3"/>
  <c r="D152" i="3"/>
  <c r="F153" i="3"/>
  <c r="H154" i="3"/>
  <c r="J155" i="3"/>
  <c r="F157" i="3"/>
  <c r="H158" i="3"/>
  <c r="J159" i="3"/>
  <c r="E161" i="3"/>
  <c r="G162" i="3"/>
  <c r="I163" i="3"/>
  <c r="D165" i="3"/>
  <c r="G166" i="3"/>
  <c r="I167" i="3"/>
  <c r="D169" i="3"/>
  <c r="F170" i="3"/>
  <c r="H171" i="3"/>
  <c r="J172" i="3"/>
  <c r="E174" i="3"/>
  <c r="H175" i="3"/>
  <c r="J176" i="3"/>
  <c r="E178" i="3"/>
  <c r="G179" i="3"/>
  <c r="I180" i="3"/>
  <c r="J181" i="3"/>
  <c r="D183" i="3"/>
  <c r="E184" i="3"/>
  <c r="F185" i="3"/>
  <c r="G186" i="3"/>
  <c r="H187" i="3"/>
  <c r="I188" i="3"/>
  <c r="J189" i="3"/>
  <c r="D191" i="3"/>
  <c r="E192" i="3"/>
  <c r="F193" i="3"/>
  <c r="G194" i="3"/>
  <c r="H195" i="3"/>
  <c r="I196" i="3"/>
  <c r="J197" i="3"/>
  <c r="D199" i="3"/>
  <c r="E200" i="3"/>
  <c r="F201" i="3"/>
  <c r="G202" i="3"/>
  <c r="H203" i="3"/>
  <c r="I204" i="3"/>
  <c r="J205" i="3"/>
  <c r="D207" i="3"/>
  <c r="H44" i="3"/>
  <c r="E73" i="3"/>
  <c r="D90" i="3"/>
  <c r="H98" i="3"/>
  <c r="H104" i="3"/>
  <c r="J109" i="3"/>
  <c r="H114" i="3"/>
  <c r="J116" i="3"/>
  <c r="E119" i="3"/>
  <c r="G121" i="3"/>
  <c r="I123" i="3"/>
  <c r="I125" i="3"/>
  <c r="E127" i="3"/>
  <c r="I128" i="3"/>
  <c r="F130" i="3"/>
  <c r="I131" i="3"/>
  <c r="F133" i="3"/>
  <c r="J134" i="3"/>
  <c r="F136" i="3"/>
  <c r="J137" i="3"/>
  <c r="E139" i="3"/>
  <c r="G140" i="3"/>
  <c r="I141" i="3"/>
  <c r="D143" i="3"/>
  <c r="F144" i="3"/>
  <c r="H145" i="3"/>
  <c r="D147" i="3"/>
  <c r="F148" i="3"/>
  <c r="H149" i="3"/>
  <c r="J150" i="3"/>
  <c r="E152" i="3"/>
  <c r="G153" i="3"/>
  <c r="I154" i="3"/>
  <c r="E156" i="3"/>
  <c r="G157" i="3"/>
  <c r="I158" i="3"/>
  <c r="D160" i="3"/>
  <c r="F161" i="3"/>
  <c r="H162" i="3"/>
  <c r="J163" i="3"/>
  <c r="F165" i="3"/>
  <c r="H166" i="3"/>
  <c r="J167" i="3"/>
  <c r="E169" i="3"/>
  <c r="G170" i="3"/>
  <c r="I171" i="3"/>
  <c r="D173" i="3"/>
  <c r="G174" i="3"/>
  <c r="I175" i="3"/>
  <c r="D177" i="3"/>
  <c r="F178" i="3"/>
  <c r="H179" i="3"/>
  <c r="J180" i="3"/>
  <c r="D182" i="3"/>
  <c r="E183" i="3"/>
  <c r="F184" i="3"/>
  <c r="G185" i="3"/>
  <c r="H186" i="3"/>
  <c r="I187" i="3"/>
  <c r="J188" i="3"/>
  <c r="D190" i="3"/>
  <c r="E191" i="3"/>
  <c r="F192" i="3"/>
  <c r="G193" i="3"/>
  <c r="H194" i="3"/>
  <c r="I195" i="3"/>
  <c r="J196" i="3"/>
  <c r="D198" i="3"/>
  <c r="E199" i="3"/>
  <c r="F200" i="3"/>
  <c r="G201" i="3"/>
  <c r="H202" i="3"/>
  <c r="I203" i="3"/>
  <c r="J204" i="3"/>
  <c r="D206" i="3"/>
  <c r="E207" i="3"/>
  <c r="I45" i="3"/>
  <c r="I73" i="3"/>
  <c r="E90" i="3"/>
  <c r="I98" i="3"/>
  <c r="J104" i="3"/>
  <c r="D110" i="3"/>
  <c r="I114" i="3"/>
  <c r="D117" i="3"/>
  <c r="F119" i="3"/>
  <c r="H121" i="3"/>
  <c r="J123" i="3"/>
  <c r="J125" i="3"/>
  <c r="F127" i="3"/>
  <c r="J128" i="3"/>
  <c r="G130" i="3"/>
  <c r="J131" i="3"/>
  <c r="G133" i="3"/>
  <c r="D135" i="3"/>
  <c r="G136" i="3"/>
  <c r="D138" i="3"/>
  <c r="F139" i="3"/>
  <c r="H140" i="3"/>
  <c r="J141" i="3"/>
  <c r="E143" i="3"/>
  <c r="G144" i="3"/>
  <c r="J145" i="3"/>
  <c r="E147" i="3"/>
  <c r="G148" i="3"/>
  <c r="I149" i="3"/>
  <c r="D151" i="3"/>
  <c r="F152" i="3"/>
  <c r="H153" i="3"/>
  <c r="D155" i="3"/>
  <c r="F156" i="3"/>
  <c r="H157" i="3"/>
  <c r="J158" i="3"/>
  <c r="E160" i="3"/>
  <c r="G161" i="3"/>
  <c r="I162" i="3"/>
  <c r="E164" i="3"/>
  <c r="G165" i="3"/>
  <c r="I166" i="3"/>
  <c r="D168" i="3"/>
  <c r="F169" i="3"/>
  <c r="H170" i="3"/>
  <c r="J171" i="3"/>
  <c r="F173" i="3"/>
  <c r="H174" i="3"/>
  <c r="J175" i="3"/>
  <c r="E177" i="3"/>
  <c r="G178" i="3"/>
  <c r="I179" i="3"/>
  <c r="D181" i="3"/>
  <c r="E182" i="3"/>
  <c r="F183" i="3"/>
  <c r="G184" i="3"/>
  <c r="H185" i="3"/>
  <c r="I186" i="3"/>
  <c r="J187" i="3"/>
  <c r="D189" i="3"/>
  <c r="E190" i="3"/>
  <c r="F191" i="3"/>
  <c r="G192" i="3"/>
  <c r="H193" i="3"/>
  <c r="I194" i="3"/>
  <c r="J195" i="3"/>
  <c r="E17" i="3"/>
  <c r="I53" i="3"/>
  <c r="I77" i="3"/>
  <c r="F92" i="3"/>
  <c r="D100" i="3"/>
  <c r="D106" i="3"/>
  <c r="E111" i="3"/>
  <c r="G115" i="3"/>
  <c r="I117" i="3"/>
  <c r="D120" i="3"/>
  <c r="F122" i="3"/>
  <c r="H124" i="3"/>
  <c r="D126" i="3"/>
  <c r="H127" i="3"/>
  <c r="E129" i="3"/>
  <c r="H130" i="3"/>
  <c r="E132" i="3"/>
  <c r="I133" i="3"/>
  <c r="E135" i="3"/>
  <c r="I136" i="3"/>
  <c r="E138" i="3"/>
  <c r="G139" i="3"/>
  <c r="I140" i="3"/>
  <c r="D142" i="3"/>
  <c r="F143" i="3"/>
  <c r="I144" i="3"/>
  <c r="D146" i="3"/>
  <c r="F147" i="3"/>
  <c r="H148" i="3"/>
  <c r="J149" i="3"/>
  <c r="E151" i="3"/>
  <c r="G152" i="3"/>
  <c r="J153" i="3"/>
  <c r="E155" i="3"/>
  <c r="G156" i="3"/>
  <c r="I157" i="3"/>
  <c r="D159" i="3"/>
  <c r="F160" i="3"/>
  <c r="H161" i="3"/>
  <c r="D163" i="3"/>
  <c r="F164" i="3"/>
  <c r="H165" i="3"/>
  <c r="J166" i="3"/>
  <c r="E168" i="3"/>
  <c r="G169" i="3"/>
  <c r="I170" i="3"/>
  <c r="E172" i="3"/>
  <c r="G173" i="3"/>
  <c r="I174" i="3"/>
  <c r="D176" i="3"/>
  <c r="F177" i="3"/>
  <c r="H178" i="3"/>
  <c r="J179" i="3"/>
  <c r="E181" i="3"/>
  <c r="F182" i="3"/>
  <c r="G183" i="3"/>
  <c r="H184" i="3"/>
  <c r="I185" i="3"/>
  <c r="J186" i="3"/>
  <c r="D188" i="3"/>
  <c r="E189" i="3"/>
  <c r="F190" i="3"/>
  <c r="G191" i="3"/>
  <c r="H192" i="3"/>
  <c r="I193" i="3"/>
  <c r="J194" i="3"/>
  <c r="F18" i="3"/>
  <c r="J54" i="3"/>
  <c r="F78" i="3"/>
  <c r="G92" i="3"/>
  <c r="F100" i="3"/>
  <c r="E106" i="3"/>
  <c r="F111" i="3"/>
  <c r="H115" i="3"/>
  <c r="J117" i="3"/>
  <c r="E120" i="3"/>
  <c r="G122" i="3"/>
  <c r="I124" i="3"/>
  <c r="E126" i="3"/>
  <c r="I127" i="3"/>
  <c r="F129" i="3"/>
  <c r="I130" i="3"/>
  <c r="F132" i="3"/>
  <c r="J133" i="3"/>
  <c r="F135" i="3"/>
  <c r="J136" i="3"/>
  <c r="F138" i="3"/>
  <c r="H139" i="3"/>
  <c r="J140" i="3"/>
  <c r="E142" i="3"/>
  <c r="H143" i="3"/>
  <c r="J144" i="3"/>
  <c r="E146" i="3"/>
  <c r="G147" i="3"/>
  <c r="I148" i="3"/>
  <c r="D150" i="3"/>
  <c r="F151" i="3"/>
  <c r="I152" i="3"/>
  <c r="D154" i="3"/>
  <c r="F155" i="3"/>
  <c r="H156" i="3"/>
  <c r="J157" i="3"/>
  <c r="E159" i="3"/>
  <c r="G160" i="3"/>
  <c r="J161" i="3"/>
  <c r="E163" i="3"/>
  <c r="G164" i="3"/>
  <c r="I165" i="3"/>
  <c r="D167" i="3"/>
  <c r="F168" i="3"/>
  <c r="H169" i="3"/>
  <c r="D171" i="3"/>
  <c r="F172" i="3"/>
  <c r="H173" i="3"/>
  <c r="J174" i="3"/>
  <c r="E176" i="3"/>
  <c r="G177" i="3"/>
  <c r="I178" i="3"/>
  <c r="E180" i="3"/>
  <c r="F181" i="3"/>
  <c r="G182" i="3"/>
  <c r="H183" i="3"/>
  <c r="I184" i="3"/>
  <c r="J185" i="3"/>
  <c r="D187" i="3"/>
  <c r="E188" i="3"/>
  <c r="F189" i="3"/>
  <c r="G190" i="3"/>
  <c r="H191" i="3"/>
  <c r="I192" i="3"/>
  <c r="J193" i="3"/>
  <c r="D195" i="3"/>
  <c r="F26" i="3"/>
  <c r="J62" i="3"/>
  <c r="F82" i="3"/>
  <c r="H94" i="3"/>
  <c r="H101" i="3"/>
  <c r="F107" i="3"/>
  <c r="F112" i="3"/>
  <c r="I115" i="3"/>
  <c r="D118" i="3"/>
  <c r="F120" i="3"/>
  <c r="H122" i="3"/>
  <c r="J124" i="3"/>
  <c r="G126" i="3"/>
  <c r="D128" i="3"/>
  <c r="G129" i="3"/>
  <c r="D131" i="3"/>
  <c r="H132" i="3"/>
  <c r="D134" i="3"/>
  <c r="H135" i="3"/>
  <c r="E137" i="3"/>
  <c r="G138" i="3"/>
  <c r="I139" i="3"/>
  <c r="D141" i="3"/>
  <c r="G142" i="3"/>
  <c r="I143" i="3"/>
  <c r="D145" i="3"/>
  <c r="F146" i="3"/>
  <c r="H147" i="3"/>
  <c r="J148" i="3"/>
  <c r="E150" i="3"/>
  <c r="H151" i="3"/>
  <c r="J152" i="3"/>
  <c r="E154" i="3"/>
  <c r="G155" i="3"/>
  <c r="I156" i="3"/>
  <c r="D158" i="3"/>
  <c r="F159" i="3"/>
  <c r="I160" i="3"/>
  <c r="D162" i="3"/>
  <c r="F163" i="3"/>
  <c r="H164" i="3"/>
  <c r="J165" i="3"/>
  <c r="E167" i="3"/>
  <c r="G168" i="3"/>
  <c r="J169" i="3"/>
  <c r="E171" i="3"/>
  <c r="G172" i="3"/>
  <c r="I173" i="3"/>
  <c r="D175" i="3"/>
  <c r="F176" i="3"/>
  <c r="H177" i="3"/>
  <c r="D179" i="3"/>
  <c r="F180" i="3"/>
  <c r="G181" i="3"/>
  <c r="H182" i="3"/>
  <c r="I183" i="3"/>
  <c r="J184" i="3"/>
  <c r="D186" i="3"/>
  <c r="E187" i="3"/>
  <c r="F188" i="3"/>
  <c r="G189" i="3"/>
  <c r="H190" i="3"/>
  <c r="I191" i="3"/>
  <c r="J192" i="3"/>
  <c r="D194" i="3"/>
  <c r="E195" i="3"/>
  <c r="I101" i="3"/>
  <c r="H126" i="3"/>
  <c r="H138" i="3"/>
  <c r="D149" i="3"/>
  <c r="H159" i="3"/>
  <c r="D170" i="3"/>
  <c r="G180" i="3"/>
  <c r="H189" i="3"/>
  <c r="F196" i="3"/>
  <c r="F198" i="3"/>
  <c r="J199" i="3"/>
  <c r="J201" i="3"/>
  <c r="J203" i="3"/>
  <c r="G205" i="3"/>
  <c r="G207" i="3"/>
  <c r="I208" i="3"/>
  <c r="D210" i="3"/>
  <c r="F211" i="3"/>
  <c r="I212" i="3"/>
  <c r="D214" i="3"/>
  <c r="F215" i="3"/>
  <c r="H216" i="3"/>
  <c r="J217" i="3"/>
  <c r="E219" i="3"/>
  <c r="G220" i="3"/>
  <c r="J221" i="3"/>
  <c r="E223" i="3"/>
  <c r="G224" i="3"/>
  <c r="I225" i="3"/>
  <c r="D227" i="3"/>
  <c r="F228" i="3"/>
  <c r="H229" i="3"/>
  <c r="D231" i="3"/>
  <c r="F232" i="3"/>
  <c r="H233" i="3"/>
  <c r="J234" i="3"/>
  <c r="E236" i="3"/>
  <c r="G237" i="3"/>
  <c r="I238" i="3"/>
  <c r="E240" i="3"/>
  <c r="G241" i="3"/>
  <c r="I242" i="3"/>
  <c r="D244" i="3"/>
  <c r="F245" i="3"/>
  <c r="H246" i="3"/>
  <c r="J247" i="3"/>
  <c r="F249" i="3"/>
  <c r="H250" i="3"/>
  <c r="J251" i="3"/>
  <c r="E253" i="3"/>
  <c r="G254" i="3"/>
  <c r="I255" i="3"/>
  <c r="D257" i="3"/>
  <c r="G258" i="3"/>
  <c r="I259" i="3"/>
  <c r="D261" i="3"/>
  <c r="F262" i="3"/>
  <c r="H263" i="3"/>
  <c r="J264" i="3"/>
  <c r="E266" i="3"/>
  <c r="H267" i="3"/>
  <c r="J268" i="3"/>
  <c r="E270" i="3"/>
  <c r="G271" i="3"/>
  <c r="I272" i="3"/>
  <c r="D274" i="3"/>
  <c r="F275" i="3"/>
  <c r="I276" i="3"/>
  <c r="D278" i="3"/>
  <c r="F279" i="3"/>
  <c r="H280" i="3"/>
  <c r="J281" i="3"/>
  <c r="E283" i="3"/>
  <c r="G284" i="3"/>
  <c r="J285" i="3"/>
  <c r="E287" i="3"/>
  <c r="G288" i="3"/>
  <c r="I289" i="3"/>
  <c r="D291" i="3"/>
  <c r="F292" i="3"/>
  <c r="H293" i="3"/>
  <c r="D295" i="3"/>
  <c r="F296" i="3"/>
  <c r="H297" i="3"/>
  <c r="J298" i="3"/>
  <c r="E300" i="3"/>
  <c r="G301" i="3"/>
  <c r="I302" i="3"/>
  <c r="E304" i="3"/>
  <c r="G305" i="3"/>
  <c r="I306" i="3"/>
  <c r="D308" i="3"/>
  <c r="F309" i="3"/>
  <c r="H310" i="3"/>
  <c r="J311" i="3"/>
  <c r="F313" i="3"/>
  <c r="H314" i="3"/>
  <c r="I315" i="3"/>
  <c r="J316" i="3"/>
  <c r="D318" i="3"/>
  <c r="E319" i="3"/>
  <c r="F320" i="3"/>
  <c r="G321" i="3"/>
  <c r="H322" i="3"/>
  <c r="I323" i="3"/>
  <c r="J324" i="3"/>
  <c r="D326" i="3"/>
  <c r="E327" i="3"/>
  <c r="F328" i="3"/>
  <c r="G329" i="3"/>
  <c r="H330" i="3"/>
  <c r="I331" i="3"/>
  <c r="J332" i="3"/>
  <c r="D334" i="3"/>
  <c r="E335" i="3"/>
  <c r="F336" i="3"/>
  <c r="G337" i="3"/>
  <c r="H338" i="3"/>
  <c r="I339" i="3"/>
  <c r="J340" i="3"/>
  <c r="D342" i="3"/>
  <c r="E343" i="3"/>
  <c r="F344" i="3"/>
  <c r="G345" i="3"/>
  <c r="H346" i="3"/>
  <c r="I347" i="3"/>
  <c r="J348" i="3"/>
  <c r="D350" i="3"/>
  <c r="E351" i="3"/>
  <c r="F352" i="3"/>
  <c r="G353" i="3"/>
  <c r="G107" i="3"/>
  <c r="E128" i="3"/>
  <c r="J139" i="3"/>
  <c r="G150" i="3"/>
  <c r="J160" i="3"/>
  <c r="F171" i="3"/>
  <c r="H181" i="3"/>
  <c r="I190" i="3"/>
  <c r="G196" i="3"/>
  <c r="G198" i="3"/>
  <c r="G200" i="3"/>
  <c r="D202" i="3"/>
  <c r="D204" i="3"/>
  <c r="H205" i="3"/>
  <c r="H207" i="3"/>
  <c r="J208" i="3"/>
  <c r="E210" i="3"/>
  <c r="H211" i="3"/>
  <c r="J212" i="3"/>
  <c r="E214" i="3"/>
  <c r="G215" i="3"/>
  <c r="I216" i="3"/>
  <c r="D218" i="3"/>
  <c r="F219" i="3"/>
  <c r="I220" i="3"/>
  <c r="D222" i="3"/>
  <c r="F223" i="3"/>
  <c r="H224" i="3"/>
  <c r="J225" i="3"/>
  <c r="E227" i="3"/>
  <c r="G228" i="3"/>
  <c r="J229" i="3"/>
  <c r="E231" i="3"/>
  <c r="G232" i="3"/>
  <c r="I233" i="3"/>
  <c r="D235" i="3"/>
  <c r="F236" i="3"/>
  <c r="H237" i="3"/>
  <c r="D239" i="3"/>
  <c r="F240" i="3"/>
  <c r="H241" i="3"/>
  <c r="J242" i="3"/>
  <c r="E244" i="3"/>
  <c r="G245" i="3"/>
  <c r="I246" i="3"/>
  <c r="E248" i="3"/>
  <c r="G249" i="3"/>
  <c r="I250" i="3"/>
  <c r="D252" i="3"/>
  <c r="F253" i="3"/>
  <c r="H254" i="3"/>
  <c r="J255" i="3"/>
  <c r="F257" i="3"/>
  <c r="H258" i="3"/>
  <c r="J259" i="3"/>
  <c r="E261" i="3"/>
  <c r="G262" i="3"/>
  <c r="I263" i="3"/>
  <c r="D265" i="3"/>
  <c r="G266" i="3"/>
  <c r="I267" i="3"/>
  <c r="D269" i="3"/>
  <c r="F270" i="3"/>
  <c r="H271" i="3"/>
  <c r="J272" i="3"/>
  <c r="E274" i="3"/>
  <c r="H275" i="3"/>
  <c r="J276" i="3"/>
  <c r="E278" i="3"/>
  <c r="G279" i="3"/>
  <c r="I280" i="3"/>
  <c r="D282" i="3"/>
  <c r="F283" i="3"/>
  <c r="I284" i="3"/>
  <c r="D286" i="3"/>
  <c r="F287" i="3"/>
  <c r="H288" i="3"/>
  <c r="J289" i="3"/>
  <c r="E291" i="3"/>
  <c r="G292" i="3"/>
  <c r="J293" i="3"/>
  <c r="E295" i="3"/>
  <c r="G296" i="3"/>
  <c r="I297" i="3"/>
  <c r="D299" i="3"/>
  <c r="G112" i="3"/>
  <c r="H129" i="3"/>
  <c r="F141" i="3"/>
  <c r="I151" i="3"/>
  <c r="E162" i="3"/>
  <c r="H172" i="3"/>
  <c r="I182" i="3"/>
  <c r="J191" i="3"/>
  <c r="D197" i="3"/>
  <c r="H198" i="3"/>
  <c r="H200" i="3"/>
  <c r="E202" i="3"/>
  <c r="E204" i="3"/>
  <c r="E206" i="3"/>
  <c r="I207" i="3"/>
  <c r="D209" i="3"/>
  <c r="G210" i="3"/>
  <c r="I211" i="3"/>
  <c r="D213" i="3"/>
  <c r="F214" i="3"/>
  <c r="H215" i="3"/>
  <c r="J216" i="3"/>
  <c r="E218" i="3"/>
  <c r="H219" i="3"/>
  <c r="J220" i="3"/>
  <c r="E222" i="3"/>
  <c r="G223" i="3"/>
  <c r="I224" i="3"/>
  <c r="D226" i="3"/>
  <c r="F227" i="3"/>
  <c r="I228" i="3"/>
  <c r="D230" i="3"/>
  <c r="F231" i="3"/>
  <c r="H232" i="3"/>
  <c r="J233" i="3"/>
  <c r="E235" i="3"/>
  <c r="G236" i="3"/>
  <c r="J115" i="3"/>
  <c r="E131" i="3"/>
  <c r="H142" i="3"/>
  <c r="D153" i="3"/>
  <c r="G163" i="3"/>
  <c r="J173" i="3"/>
  <c r="J183" i="3"/>
  <c r="D193" i="3"/>
  <c r="E197" i="3"/>
  <c r="I198" i="3"/>
  <c r="I200" i="3"/>
  <c r="I202" i="3"/>
  <c r="F204" i="3"/>
  <c r="F206" i="3"/>
  <c r="J207" i="3"/>
  <c r="F209" i="3"/>
  <c r="H210" i="3"/>
  <c r="J211" i="3"/>
  <c r="E213" i="3"/>
  <c r="G214" i="3"/>
  <c r="I215" i="3"/>
  <c r="D217" i="3"/>
  <c r="G218" i="3"/>
  <c r="I219" i="3"/>
  <c r="D221" i="3"/>
  <c r="F222" i="3"/>
  <c r="H223" i="3"/>
  <c r="J224" i="3"/>
  <c r="E226" i="3"/>
  <c r="H227" i="3"/>
  <c r="J228" i="3"/>
  <c r="E230" i="3"/>
  <c r="G231" i="3"/>
  <c r="I232" i="3"/>
  <c r="D234" i="3"/>
  <c r="F235" i="3"/>
  <c r="I236" i="3"/>
  <c r="D238" i="3"/>
  <c r="F239" i="3"/>
  <c r="H240" i="3"/>
  <c r="J241" i="3"/>
  <c r="E243" i="3"/>
  <c r="G244" i="3"/>
  <c r="J245" i="3"/>
  <c r="E247" i="3"/>
  <c r="G248" i="3"/>
  <c r="I249" i="3"/>
  <c r="D251" i="3"/>
  <c r="F252" i="3"/>
  <c r="H253" i="3"/>
  <c r="D255" i="3"/>
  <c r="F256" i="3"/>
  <c r="H257" i="3"/>
  <c r="J258" i="3"/>
  <c r="E260" i="3"/>
  <c r="G261" i="3"/>
  <c r="I262" i="3"/>
  <c r="E264" i="3"/>
  <c r="G265" i="3"/>
  <c r="I266" i="3"/>
  <c r="D268" i="3"/>
  <c r="F269" i="3"/>
  <c r="H270" i="3"/>
  <c r="J271" i="3"/>
  <c r="F273" i="3"/>
  <c r="G27" i="3"/>
  <c r="E118" i="3"/>
  <c r="I132" i="3"/>
  <c r="J143" i="3"/>
  <c r="F154" i="3"/>
  <c r="I164" i="3"/>
  <c r="E175" i="3"/>
  <c r="D185" i="3"/>
  <c r="E194" i="3"/>
  <c r="F197" i="3"/>
  <c r="F199" i="3"/>
  <c r="J200" i="3"/>
  <c r="J202" i="3"/>
  <c r="G204" i="3"/>
  <c r="G206" i="3"/>
  <c r="E208" i="3"/>
  <c r="G209" i="3"/>
  <c r="I210" i="3"/>
  <c r="D212" i="3"/>
  <c r="F213" i="3"/>
  <c r="H214" i="3"/>
  <c r="J215" i="3"/>
  <c r="F217" i="3"/>
  <c r="H218" i="3"/>
  <c r="J219" i="3"/>
  <c r="E221" i="3"/>
  <c r="G222" i="3"/>
  <c r="I223" i="3"/>
  <c r="D225" i="3"/>
  <c r="G226" i="3"/>
  <c r="I227" i="3"/>
  <c r="D229" i="3"/>
  <c r="F230" i="3"/>
  <c r="H231" i="3"/>
  <c r="J232" i="3"/>
  <c r="E234" i="3"/>
  <c r="H235" i="3"/>
  <c r="J236" i="3"/>
  <c r="I122" i="3"/>
  <c r="H155" i="3"/>
  <c r="E179" i="3"/>
  <c r="H197" i="3"/>
  <c r="D203" i="3"/>
  <c r="F207" i="3"/>
  <c r="D211" i="3"/>
  <c r="I214" i="3"/>
  <c r="I217" i="3"/>
  <c r="G221" i="3"/>
  <c r="F225" i="3"/>
  <c r="E228" i="3"/>
  <c r="J231" i="3"/>
  <c r="I235" i="3"/>
  <c r="F238" i="3"/>
  <c r="G240" i="3"/>
  <c r="G242" i="3"/>
  <c r="I244" i="3"/>
  <c r="G246" i="3"/>
  <c r="I248" i="3"/>
  <c r="J250" i="3"/>
  <c r="J252" i="3"/>
  <c r="E255" i="3"/>
  <c r="J256" i="3"/>
  <c r="E259" i="3"/>
  <c r="F261" i="3"/>
  <c r="F263" i="3"/>
  <c r="H265" i="3"/>
  <c r="F267" i="3"/>
  <c r="H269" i="3"/>
  <c r="I271" i="3"/>
  <c r="I273" i="3"/>
  <c r="I275" i="3"/>
  <c r="F277" i="3"/>
  <c r="D279" i="3"/>
  <c r="J280" i="3"/>
  <c r="H282" i="3"/>
  <c r="E284" i="3"/>
  <c r="E286" i="3"/>
  <c r="I287" i="3"/>
  <c r="G289" i="3"/>
  <c r="F291" i="3"/>
  <c r="D293" i="3"/>
  <c r="H294" i="3"/>
  <c r="H296" i="3"/>
  <c r="E298" i="3"/>
  <c r="J299" i="3"/>
  <c r="F301" i="3"/>
  <c r="D303" i="3"/>
  <c r="G304" i="3"/>
  <c r="J305" i="3"/>
  <c r="F307" i="3"/>
  <c r="J308" i="3"/>
  <c r="F310" i="3"/>
  <c r="I311" i="3"/>
  <c r="G313" i="3"/>
  <c r="J314" i="3"/>
  <c r="E316" i="3"/>
  <c r="G317" i="3"/>
  <c r="I318" i="3"/>
  <c r="D320" i="3"/>
  <c r="F321" i="3"/>
  <c r="I322" i="3"/>
  <c r="D324" i="3"/>
  <c r="F325" i="3"/>
  <c r="H326" i="3"/>
  <c r="J327" i="3"/>
  <c r="E329" i="3"/>
  <c r="G330" i="3"/>
  <c r="J331" i="3"/>
  <c r="E333" i="3"/>
  <c r="G334" i="3"/>
  <c r="I335" i="3"/>
  <c r="D337" i="3"/>
  <c r="F338" i="3"/>
  <c r="H339" i="3"/>
  <c r="D341" i="3"/>
  <c r="F342" i="3"/>
  <c r="H343" i="3"/>
  <c r="J344" i="3"/>
  <c r="E346" i="3"/>
  <c r="G347" i="3"/>
  <c r="I348" i="3"/>
  <c r="E350" i="3"/>
  <c r="G351" i="3"/>
  <c r="I352" i="3"/>
  <c r="D354" i="3"/>
  <c r="E355" i="3"/>
  <c r="F356" i="3"/>
  <c r="G357" i="3"/>
  <c r="H358" i="3"/>
  <c r="I359" i="3"/>
  <c r="J360" i="3"/>
  <c r="D362" i="3"/>
  <c r="E363" i="3"/>
  <c r="F364" i="3"/>
  <c r="G365" i="3"/>
  <c r="H366" i="3"/>
  <c r="I367" i="3"/>
  <c r="J368" i="3"/>
  <c r="D370" i="3"/>
  <c r="E371" i="3"/>
  <c r="F372" i="3"/>
  <c r="G373" i="3"/>
  <c r="H374" i="3"/>
  <c r="E320" i="3"/>
  <c r="G325" i="3"/>
  <c r="D328" i="3"/>
  <c r="I330" i="3"/>
  <c r="F333" i="3"/>
  <c r="J335" i="3"/>
  <c r="G338" i="3"/>
  <c r="E341" i="3"/>
  <c r="I343" i="3"/>
  <c r="F346" i="3"/>
  <c r="H347" i="3"/>
  <c r="F350" i="3"/>
  <c r="J352" i="3"/>
  <c r="F355" i="3"/>
  <c r="H357" i="3"/>
  <c r="J359" i="3"/>
  <c r="E362" i="3"/>
  <c r="G364" i="3"/>
  <c r="I366" i="3"/>
  <c r="D369" i="3"/>
  <c r="F371" i="3"/>
  <c r="H373" i="3"/>
  <c r="D125" i="3"/>
  <c r="J156" i="3"/>
  <c r="E186" i="3"/>
  <c r="E198" i="3"/>
  <c r="E203" i="3"/>
  <c r="F208" i="3"/>
  <c r="E211" i="3"/>
  <c r="D215" i="3"/>
  <c r="I218" i="3"/>
  <c r="H221" i="3"/>
  <c r="G225" i="3"/>
  <c r="E229" i="3"/>
  <c r="E232" i="3"/>
  <c r="J235" i="3"/>
  <c r="G238" i="3"/>
  <c r="I240" i="3"/>
  <c r="H242" i="3"/>
  <c r="J244" i="3"/>
  <c r="D247" i="3"/>
  <c r="J248" i="3"/>
  <c r="E251" i="3"/>
  <c r="D253" i="3"/>
  <c r="F255" i="3"/>
  <c r="G257" i="3"/>
  <c r="F259" i="3"/>
  <c r="H261" i="3"/>
  <c r="G263" i="3"/>
  <c r="I265" i="3"/>
  <c r="J267" i="3"/>
  <c r="J269" i="3"/>
  <c r="E272" i="3"/>
  <c r="J273" i="3"/>
  <c r="J275" i="3"/>
  <c r="G277" i="3"/>
  <c r="E279" i="3"/>
  <c r="D281" i="3"/>
  <c r="I282" i="3"/>
  <c r="F284" i="3"/>
  <c r="F286" i="3"/>
  <c r="J287" i="3"/>
  <c r="H289" i="3"/>
  <c r="H291" i="3"/>
  <c r="E293" i="3"/>
  <c r="I294" i="3"/>
  <c r="I296" i="3"/>
  <c r="G298" i="3"/>
  <c r="D300" i="3"/>
  <c r="H301" i="3"/>
  <c r="E303" i="3"/>
  <c r="H304" i="3"/>
  <c r="D306" i="3"/>
  <c r="H307" i="3"/>
  <c r="D309" i="3"/>
  <c r="G310" i="3"/>
  <c r="E312" i="3"/>
  <c r="H313" i="3"/>
  <c r="D315" i="3"/>
  <c r="F316" i="3"/>
  <c r="H317" i="3"/>
  <c r="J318" i="3"/>
  <c r="H321" i="3"/>
  <c r="J322" i="3"/>
  <c r="E324" i="3"/>
  <c r="I326" i="3"/>
  <c r="F329" i="3"/>
  <c r="D332" i="3"/>
  <c r="H334" i="3"/>
  <c r="E337" i="3"/>
  <c r="J339" i="3"/>
  <c r="G342" i="3"/>
  <c r="D345" i="3"/>
  <c r="D349" i="3"/>
  <c r="H351" i="3"/>
  <c r="E354" i="3"/>
  <c r="G356" i="3"/>
  <c r="I358" i="3"/>
  <c r="D361" i="3"/>
  <c r="F363" i="3"/>
  <c r="H365" i="3"/>
  <c r="J367" i="3"/>
  <c r="E370" i="3"/>
  <c r="G372" i="3"/>
  <c r="I374" i="3"/>
  <c r="E134" i="3"/>
  <c r="E158" i="3"/>
  <c r="F187" i="3"/>
  <c r="G199" i="3"/>
  <c r="F203" i="3"/>
  <c r="G208" i="3"/>
  <c r="E212" i="3"/>
  <c r="E215" i="3"/>
  <c r="J218" i="3"/>
  <c r="H222" i="3"/>
  <c r="H225" i="3"/>
  <c r="F229" i="3"/>
  <c r="D233" i="3"/>
  <c r="D236" i="3"/>
  <c r="H238" i="3"/>
  <c r="J240" i="3"/>
  <c r="D243" i="3"/>
  <c r="D245" i="3"/>
  <c r="F247" i="3"/>
  <c r="D249" i="3"/>
  <c r="F251" i="3"/>
  <c r="G253" i="3"/>
  <c r="G255" i="3"/>
  <c r="I257" i="3"/>
  <c r="H259" i="3"/>
  <c r="J261" i="3"/>
  <c r="J263" i="3"/>
  <c r="J265" i="3"/>
  <c r="E268" i="3"/>
  <c r="D270" i="3"/>
  <c r="F272" i="3"/>
  <c r="G274" i="3"/>
  <c r="D276" i="3"/>
  <c r="H277" i="3"/>
  <c r="H279" i="3"/>
  <c r="F281" i="3"/>
  <c r="J282" i="3"/>
  <c r="J284" i="3"/>
  <c r="G286" i="3"/>
  <c r="E288" i="3"/>
  <c r="D290" i="3"/>
  <c r="I291" i="3"/>
  <c r="F293" i="3"/>
  <c r="F295" i="3"/>
  <c r="J296" i="3"/>
  <c r="H298" i="3"/>
  <c r="F300" i="3"/>
  <c r="J301" i="3"/>
  <c r="F303" i="3"/>
  <c r="I304" i="3"/>
  <c r="E306" i="3"/>
  <c r="I307" i="3"/>
  <c r="E309" i="3"/>
  <c r="I310" i="3"/>
  <c r="F312" i="3"/>
  <c r="I313" i="3"/>
  <c r="E315" i="3"/>
  <c r="G316" i="3"/>
  <c r="I317" i="3"/>
  <c r="D319" i="3"/>
  <c r="G320" i="3"/>
  <c r="I321" i="3"/>
  <c r="D323" i="3"/>
  <c r="F324" i="3"/>
  <c r="H325" i="3"/>
  <c r="J326" i="3"/>
  <c r="E328" i="3"/>
  <c r="H329" i="3"/>
  <c r="J330" i="3"/>
  <c r="E332" i="3"/>
  <c r="G333" i="3"/>
  <c r="I334" i="3"/>
  <c r="D336" i="3"/>
  <c r="F337" i="3"/>
  <c r="I338" i="3"/>
  <c r="D340" i="3"/>
  <c r="F341" i="3"/>
  <c r="H342" i="3"/>
  <c r="J343" i="3"/>
  <c r="E345" i="3"/>
  <c r="G346" i="3"/>
  <c r="J347" i="3"/>
  <c r="E349" i="3"/>
  <c r="G350" i="3"/>
  <c r="I351" i="3"/>
  <c r="I135" i="3"/>
  <c r="D166" i="3"/>
  <c r="G188" i="3"/>
  <c r="H199" i="3"/>
  <c r="D205" i="3"/>
  <c r="H208" i="3"/>
  <c r="F212" i="3"/>
  <c r="E216" i="3"/>
  <c r="D219" i="3"/>
  <c r="I222" i="3"/>
  <c r="H226" i="3"/>
  <c r="G229" i="3"/>
  <c r="F233" i="3"/>
  <c r="D237" i="3"/>
  <c r="E239" i="3"/>
  <c r="D241" i="3"/>
  <c r="F243" i="3"/>
  <c r="E245" i="3"/>
  <c r="G247" i="3"/>
  <c r="H249" i="3"/>
  <c r="H251" i="3"/>
  <c r="J253" i="3"/>
  <c r="H255" i="3"/>
  <c r="J257" i="3"/>
  <c r="D260" i="3"/>
  <c r="D262" i="3"/>
  <c r="F264" i="3"/>
  <c r="D266" i="3"/>
  <c r="F268" i="3"/>
  <c r="G270" i="3"/>
  <c r="G272" i="3"/>
  <c r="H274" i="3"/>
  <c r="E276" i="3"/>
  <c r="J277" i="3"/>
  <c r="I279" i="3"/>
  <c r="G281" i="3"/>
  <c r="D283" i="3"/>
  <c r="D285" i="3"/>
  <c r="H286" i="3"/>
  <c r="F288" i="3"/>
  <c r="E290" i="3"/>
  <c r="J291" i="3"/>
  <c r="G293" i="3"/>
  <c r="G295" i="3"/>
  <c r="D297" i="3"/>
  <c r="I298" i="3"/>
  <c r="G300" i="3"/>
  <c r="D302" i="3"/>
  <c r="G303" i="3"/>
  <c r="D64" i="3"/>
  <c r="F137" i="3"/>
  <c r="F167" i="3"/>
  <c r="F195" i="3"/>
  <c r="I199" i="3"/>
  <c r="E205" i="3"/>
  <c r="H209" i="3"/>
  <c r="G212" i="3"/>
  <c r="F216" i="3"/>
  <c r="D220" i="3"/>
  <c r="D223" i="3"/>
  <c r="I226" i="3"/>
  <c r="G230" i="3"/>
  <c r="G233" i="3"/>
  <c r="E237" i="3"/>
  <c r="G239" i="3"/>
  <c r="F241" i="3"/>
  <c r="H243" i="3"/>
  <c r="H245" i="3"/>
  <c r="H247" i="3"/>
  <c r="J249" i="3"/>
  <c r="I251" i="3"/>
  <c r="D254" i="3"/>
  <c r="E256" i="3"/>
  <c r="D258" i="3"/>
  <c r="F260" i="3"/>
  <c r="E262" i="3"/>
  <c r="G264" i="3"/>
  <c r="H266" i="3"/>
  <c r="G268" i="3"/>
  <c r="I270" i="3"/>
  <c r="H272" i="3"/>
  <c r="I274" i="3"/>
  <c r="F276" i="3"/>
  <c r="F278" i="3"/>
  <c r="J279" i="3"/>
  <c r="H281" i="3"/>
  <c r="H283" i="3"/>
  <c r="E285" i="3"/>
  <c r="I286" i="3"/>
  <c r="I288" i="3"/>
  <c r="G290" i="3"/>
  <c r="D292" i="3"/>
  <c r="D294" i="3"/>
  <c r="H295" i="3"/>
  <c r="F297" i="3"/>
  <c r="E299" i="3"/>
  <c r="I300" i="3"/>
  <c r="E302" i="3"/>
  <c r="H303" i="3"/>
  <c r="G146" i="3"/>
  <c r="D201" i="3"/>
  <c r="J210" i="3"/>
  <c r="F220" i="3"/>
  <c r="H230" i="3"/>
  <c r="E238" i="3"/>
  <c r="J243" i="3"/>
  <c r="D250" i="3"/>
  <c r="I254" i="3"/>
  <c r="I260" i="3"/>
  <c r="J266" i="3"/>
  <c r="F271" i="3"/>
  <c r="D277" i="3"/>
  <c r="I281" i="3"/>
  <c r="H285" i="3"/>
  <c r="I290" i="3"/>
  <c r="I295" i="3"/>
  <c r="I299" i="3"/>
  <c r="J303" i="3"/>
  <c r="H306" i="3"/>
  <c r="I308" i="3"/>
  <c r="F311" i="3"/>
  <c r="J313" i="3"/>
  <c r="J315" i="3"/>
  <c r="E318" i="3"/>
  <c r="J319" i="3"/>
  <c r="E322" i="3"/>
  <c r="G324" i="3"/>
  <c r="F326" i="3"/>
  <c r="H328" i="3"/>
  <c r="F330" i="3"/>
  <c r="H332" i="3"/>
  <c r="J334" i="3"/>
  <c r="I336" i="3"/>
  <c r="D339" i="3"/>
  <c r="I340" i="3"/>
  <c r="D343" i="3"/>
  <c r="F345" i="3"/>
  <c r="E347" i="3"/>
  <c r="G349" i="3"/>
  <c r="F351" i="3"/>
  <c r="F353" i="3"/>
  <c r="J354" i="3"/>
  <c r="H356" i="3"/>
  <c r="D358" i="3"/>
  <c r="G359" i="3"/>
  <c r="E361" i="3"/>
  <c r="H362" i="3"/>
  <c r="D364" i="3"/>
  <c r="I365" i="3"/>
  <c r="E367" i="3"/>
  <c r="H368" i="3"/>
  <c r="F370" i="3"/>
  <c r="I371" i="3"/>
  <c r="E373" i="3"/>
  <c r="J374" i="3"/>
  <c r="J290" i="3"/>
  <c r="J300" i="3"/>
  <c r="J306" i="3"/>
  <c r="G309" i="3"/>
  <c r="D314" i="3"/>
  <c r="D316" i="3"/>
  <c r="H320" i="3"/>
  <c r="F322" i="3"/>
  <c r="G326" i="3"/>
  <c r="I328" i="3"/>
  <c r="I332" i="3"/>
  <c r="D335" i="3"/>
  <c r="E339" i="3"/>
  <c r="G341" i="3"/>
  <c r="H345" i="3"/>
  <c r="F347" i="3"/>
  <c r="J351" i="3"/>
  <c r="D355" i="3"/>
  <c r="I356" i="3"/>
  <c r="H359" i="3"/>
  <c r="F361" i="3"/>
  <c r="E364" i="3"/>
  <c r="J365" i="3"/>
  <c r="I368" i="3"/>
  <c r="G370" i="3"/>
  <c r="F373" i="3"/>
  <c r="D333" i="3"/>
  <c r="F339" i="3"/>
  <c r="G343" i="3"/>
  <c r="I349" i="3"/>
  <c r="I353" i="3"/>
  <c r="J356" i="3"/>
  <c r="D360" i="3"/>
  <c r="J362" i="3"/>
  <c r="G367" i="3"/>
  <c r="E369" i="3"/>
  <c r="I373" i="3"/>
  <c r="I329" i="3"/>
  <c r="J341" i="3"/>
  <c r="F354" i="3"/>
  <c r="E357" i="3"/>
  <c r="J364" i="3"/>
  <c r="G369" i="3"/>
  <c r="J333" i="3"/>
  <c r="G348" i="3"/>
  <c r="I350" i="3"/>
  <c r="D359" i="3"/>
  <c r="J361" i="3"/>
  <c r="H369" i="3"/>
  <c r="E374" i="3"/>
  <c r="G120" i="3"/>
  <c r="D259" i="3"/>
  <c r="F280" i="3"/>
  <c r="F299" i="3"/>
  <c r="D311" i="3"/>
  <c r="H319" i="3"/>
  <c r="I327" i="3"/>
  <c r="G340" i="3"/>
  <c r="H348" i="3"/>
  <c r="D356" i="3"/>
  <c r="F362" i="3"/>
  <c r="F368" i="3"/>
  <c r="E145" i="3"/>
  <c r="I243" i="3"/>
  <c r="F254" i="3"/>
  <c r="E271" i="3"/>
  <c r="I147" i="3"/>
  <c r="H201" i="3"/>
  <c r="G213" i="3"/>
  <c r="F221" i="3"/>
  <c r="I230" i="3"/>
  <c r="H239" i="3"/>
  <c r="F244" i="3"/>
  <c r="E250" i="3"/>
  <c r="G256" i="3"/>
  <c r="J260" i="3"/>
  <c r="D267" i="3"/>
  <c r="D273" i="3"/>
  <c r="E277" i="3"/>
  <c r="E282" i="3"/>
  <c r="D287" i="3"/>
  <c r="J295" i="3"/>
  <c r="F304" i="3"/>
  <c r="G311" i="3"/>
  <c r="F318" i="3"/>
  <c r="H324" i="3"/>
  <c r="D331" i="3"/>
  <c r="J336" i="3"/>
  <c r="F343" i="3"/>
  <c r="H349" i="3"/>
  <c r="H353" i="3"/>
  <c r="E358" i="3"/>
  <c r="I362" i="3"/>
  <c r="F367" i="3"/>
  <c r="J371" i="3"/>
  <c r="F335" i="3"/>
  <c r="I345" i="3"/>
  <c r="D352" i="3"/>
  <c r="F358" i="3"/>
  <c r="H364" i="3"/>
  <c r="H370" i="3"/>
  <c r="G331" i="3"/>
  <c r="H350" i="3"/>
  <c r="F360" i="3"/>
  <c r="J370" i="3"/>
  <c r="F340" i="3"/>
  <c r="G354" i="3"/>
  <c r="G366" i="3"/>
  <c r="I209" i="3"/>
  <c r="I264" i="3"/>
  <c r="H302" i="3"/>
  <c r="H323" i="3"/>
  <c r="E338" i="3"/>
  <c r="D353" i="3"/>
  <c r="E365" i="3"/>
  <c r="F374" i="3"/>
  <c r="J237" i="3"/>
  <c r="F265" i="3"/>
  <c r="I168" i="3"/>
  <c r="I201" i="3"/>
  <c r="H213" i="3"/>
  <c r="J223" i="3"/>
  <c r="I231" i="3"/>
  <c r="I239" i="3"/>
  <c r="D246" i="3"/>
  <c r="G250" i="3"/>
  <c r="H256" i="3"/>
  <c r="H262" i="3"/>
  <c r="E267" i="3"/>
  <c r="G273" i="3"/>
  <c r="G278" i="3"/>
  <c r="G282" i="3"/>
  <c r="G287" i="3"/>
  <c r="E292" i="3"/>
  <c r="E296" i="3"/>
  <c r="D301" i="3"/>
  <c r="J304" i="3"/>
  <c r="D307" i="3"/>
  <c r="H309" i="3"/>
  <c r="H311" i="3"/>
  <c r="E314" i="3"/>
  <c r="H316" i="3"/>
  <c r="G318" i="3"/>
  <c r="I320" i="3"/>
  <c r="G322" i="3"/>
  <c r="I324" i="3"/>
  <c r="D327" i="3"/>
  <c r="J328" i="3"/>
  <c r="E331" i="3"/>
  <c r="H337" i="3"/>
  <c r="H341" i="3"/>
  <c r="D348" i="3"/>
  <c r="G355" i="3"/>
  <c r="G361" i="3"/>
  <c r="D366" i="3"/>
  <c r="D372" i="3"/>
  <c r="I333" i="3"/>
  <c r="F348" i="3"/>
  <c r="I361" i="3"/>
  <c r="H372" i="3"/>
  <c r="E342" i="3"/>
  <c r="H352" i="3"/>
  <c r="D365" i="3"/>
  <c r="E196" i="3"/>
  <c r="D271" i="3"/>
  <c r="I305" i="3"/>
  <c r="J321" i="3"/>
  <c r="G336" i="3"/>
  <c r="J350" i="3"/>
  <c r="I363" i="3"/>
  <c r="G197" i="3"/>
  <c r="H248" i="3"/>
  <c r="G176" i="3"/>
  <c r="F205" i="3"/>
  <c r="J213" i="3"/>
  <c r="E224" i="3"/>
  <c r="G234" i="3"/>
  <c r="J239" i="3"/>
  <c r="E246" i="3"/>
  <c r="E252" i="3"/>
  <c r="I256" i="3"/>
  <c r="D263" i="3"/>
  <c r="I268" i="3"/>
  <c r="H273" i="3"/>
  <c r="H278" i="3"/>
  <c r="I283" i="3"/>
  <c r="H287" i="3"/>
  <c r="I292" i="3"/>
  <c r="G297" i="3"/>
  <c r="E301" i="3"/>
  <c r="D305" i="3"/>
  <c r="E307" i="3"/>
  <c r="J309" i="3"/>
  <c r="G312" i="3"/>
  <c r="G314" i="3"/>
  <c r="I316" i="3"/>
  <c r="H318" i="3"/>
  <c r="J320" i="3"/>
  <c r="E323" i="3"/>
  <c r="D325" i="3"/>
  <c r="F327" i="3"/>
  <c r="D329" i="3"/>
  <c r="F331" i="3"/>
  <c r="H333" i="3"/>
  <c r="G335" i="3"/>
  <c r="I337" i="3"/>
  <c r="G339" i="3"/>
  <c r="I341" i="3"/>
  <c r="D344" i="3"/>
  <c r="J345" i="3"/>
  <c r="E348" i="3"/>
  <c r="J349" i="3"/>
  <c r="E352" i="3"/>
  <c r="J353" i="3"/>
  <c r="H355" i="3"/>
  <c r="D357" i="3"/>
  <c r="G358" i="3"/>
  <c r="E360" i="3"/>
  <c r="H361" i="3"/>
  <c r="D363" i="3"/>
  <c r="I364" i="3"/>
  <c r="E366" i="3"/>
  <c r="H367" i="3"/>
  <c r="F369" i="3"/>
  <c r="I370" i="3"/>
  <c r="E372" i="3"/>
  <c r="J373" i="3"/>
  <c r="D317" i="3"/>
  <c r="F323" i="3"/>
  <c r="G327" i="3"/>
  <c r="H335" i="3"/>
  <c r="E340" i="3"/>
  <c r="E344" i="3"/>
  <c r="G352" i="3"/>
  <c r="I355" i="3"/>
  <c r="G363" i="3"/>
  <c r="F366" i="3"/>
  <c r="D374" i="3"/>
  <c r="D338" i="3"/>
  <c r="J355" i="3"/>
  <c r="H363" i="3"/>
  <c r="I372" i="3"/>
  <c r="H217" i="3"/>
  <c r="E254" i="3"/>
  <c r="E275" i="3"/>
  <c r="F294" i="3"/>
  <c r="F308" i="3"/>
  <c r="F317" i="3"/>
  <c r="J325" i="3"/>
  <c r="E334" i="3"/>
  <c r="I342" i="3"/>
  <c r="H354" i="3"/>
  <c r="H360" i="3"/>
  <c r="J366" i="3"/>
  <c r="J372" i="3"/>
  <c r="J209" i="3"/>
  <c r="G260" i="3"/>
  <c r="J82" i="3"/>
  <c r="J177" i="3"/>
  <c r="H206" i="3"/>
  <c r="G216" i="3"/>
  <c r="F224" i="3"/>
  <c r="H234" i="3"/>
  <c r="I241" i="3"/>
  <c r="F246" i="3"/>
  <c r="G252" i="3"/>
  <c r="E258" i="3"/>
  <c r="E263" i="3"/>
  <c r="E269" i="3"/>
  <c r="J274" i="3"/>
  <c r="I278" i="3"/>
  <c r="J283" i="3"/>
  <c r="J288" i="3"/>
  <c r="J292" i="3"/>
  <c r="J297" i="3"/>
  <c r="F302" i="3"/>
  <c r="F305" i="3"/>
  <c r="J307" i="3"/>
  <c r="D310" i="3"/>
  <c r="H312" i="3"/>
  <c r="I314" i="3"/>
  <c r="F319" i="3"/>
  <c r="D321" i="3"/>
  <c r="E325" i="3"/>
  <c r="J337" i="3"/>
  <c r="D346" i="3"/>
  <c r="J358" i="3"/>
  <c r="D368" i="3"/>
  <c r="G344" i="3"/>
  <c r="G360" i="3"/>
  <c r="D371" i="3"/>
  <c r="F237" i="3"/>
  <c r="F248" i="3"/>
  <c r="F285" i="3"/>
  <c r="J312" i="3"/>
  <c r="F332" i="3"/>
  <c r="J346" i="3"/>
  <c r="I357" i="3"/>
  <c r="I369" i="3"/>
  <c r="D228" i="3"/>
  <c r="G280" i="3"/>
  <c r="I94" i="3"/>
  <c r="D196" i="3"/>
  <c r="I206" i="3"/>
  <c r="G217" i="3"/>
  <c r="J226" i="3"/>
  <c r="I234" i="3"/>
  <c r="D242" i="3"/>
  <c r="I247" i="3"/>
  <c r="I252" i="3"/>
  <c r="I258" i="3"/>
  <c r="H264" i="3"/>
  <c r="G269" i="3"/>
  <c r="D275" i="3"/>
  <c r="E280" i="3"/>
  <c r="D284" i="3"/>
  <c r="D289" i="3"/>
  <c r="E294" i="3"/>
  <c r="D298" i="3"/>
  <c r="G302" i="3"/>
  <c r="H305" i="3"/>
  <c r="E308" i="3"/>
  <c r="E310" i="3"/>
  <c r="I312" i="3"/>
  <c r="F315" i="3"/>
  <c r="E317" i="3"/>
  <c r="G319" i="3"/>
  <c r="E321" i="3"/>
  <c r="G323" i="3"/>
  <c r="I325" i="3"/>
  <c r="H327" i="3"/>
  <c r="J329" i="3"/>
  <c r="H331" i="3"/>
  <c r="E336" i="3"/>
  <c r="I346" i="3"/>
  <c r="F357" i="3"/>
  <c r="E368" i="3"/>
  <c r="J227" i="3"/>
  <c r="E242" i="3"/>
  <c r="F289" i="3"/>
  <c r="G315" i="3"/>
  <c r="D330" i="3"/>
  <c r="H344" i="3"/>
  <c r="E359" i="3"/>
  <c r="G371" i="3"/>
  <c r="E220" i="3"/>
  <c r="G276" i="3"/>
  <c r="I303" i="3"/>
  <c r="D322" i="3"/>
  <c r="J338" i="3"/>
  <c r="I354" i="3"/>
  <c r="D367" i="3"/>
  <c r="G306" i="3"/>
  <c r="J323" i="3"/>
  <c r="H340" i="3"/>
  <c r="E356" i="3"/>
  <c r="G368" i="3"/>
  <c r="G308" i="3"/>
  <c r="E326" i="3"/>
  <c r="J342" i="3"/>
  <c r="J357" i="3"/>
  <c r="J369" i="3"/>
  <c r="E311" i="3"/>
  <c r="G328" i="3"/>
  <c r="I344" i="3"/>
  <c r="F359" i="3"/>
  <c r="H371" i="3"/>
  <c r="G285" i="3"/>
  <c r="D313" i="3"/>
  <c r="E330" i="3"/>
  <c r="D347" i="3"/>
  <c r="I360" i="3"/>
  <c r="D373" i="3"/>
  <c r="H290" i="3"/>
  <c r="H315" i="3"/>
  <c r="G332" i="3"/>
  <c r="F349" i="3"/>
  <c r="G362" i="3"/>
  <c r="G374" i="3"/>
  <c r="G294" i="3"/>
  <c r="J317" i="3"/>
  <c r="F334" i="3"/>
  <c r="D351" i="3"/>
  <c r="J363" i="3"/>
  <c r="H299" i="3"/>
  <c r="I319" i="3"/>
  <c r="H336" i="3"/>
  <c r="E353" i="3"/>
  <c r="F365" i="3"/>
  <c r="G9" i="3"/>
  <c r="C31" i="14" s="1"/>
  <c r="F19" i="19" l="1"/>
  <c r="F39" i="19"/>
  <c r="F47" i="19"/>
  <c r="F48" i="19" s="1"/>
  <c r="G14" i="19"/>
  <c r="G38" i="19" s="1"/>
  <c r="G42" i="19"/>
  <c r="G43" i="19" s="1"/>
  <c r="H8" i="19"/>
  <c r="B5" i="19"/>
  <c r="B6" i="19" s="1"/>
  <c r="H9" i="19"/>
  <c r="H10" i="19"/>
  <c r="E10" i="19"/>
  <c r="Q5" i="19"/>
  <c r="Q6" i="19" s="1"/>
  <c r="C5" i="19"/>
  <c r="C6" i="19" s="1"/>
  <c r="L5" i="19"/>
  <c r="L6" i="19" s="1"/>
  <c r="H5" i="19"/>
  <c r="H6" i="19" s="1"/>
  <c r="D5" i="19"/>
  <c r="D6" i="19" s="1"/>
  <c r="J2" i="19"/>
  <c r="I9" i="19"/>
  <c r="I10" i="19"/>
  <c r="V5" i="19"/>
  <c r="V6" i="19" s="1"/>
  <c r="W5" i="19"/>
  <c r="W6" i="19" s="1"/>
  <c r="G5" i="19"/>
  <c r="G6" i="19" s="1"/>
  <c r="F10" i="19"/>
  <c r="AD5" i="19"/>
  <c r="AD6" i="19" s="1"/>
  <c r="AA5" i="19"/>
  <c r="AA6" i="19" s="1"/>
  <c r="E5" i="19"/>
  <c r="E6" i="19" s="1"/>
  <c r="G10" i="19"/>
  <c r="AC5" i="19"/>
  <c r="AC6" i="19" s="1"/>
  <c r="X5" i="19"/>
  <c r="X6" i="19" s="1"/>
  <c r="R5" i="19"/>
  <c r="R6" i="19" s="1"/>
  <c r="S5" i="19"/>
  <c r="S6" i="19" s="1"/>
  <c r="I5" i="19"/>
  <c r="I6" i="19" s="1"/>
  <c r="F5" i="19"/>
  <c r="F6" i="19" s="1"/>
  <c r="N5" i="19"/>
  <c r="N6" i="19" s="1"/>
  <c r="B10" i="19"/>
  <c r="AE5" i="19"/>
  <c r="AE6" i="19" s="1"/>
  <c r="K5" i="19"/>
  <c r="K6" i="19" s="1"/>
  <c r="Y5" i="19"/>
  <c r="Y6" i="19" s="1"/>
  <c r="C10" i="19"/>
  <c r="Z5" i="19"/>
  <c r="Z6" i="19" s="1"/>
  <c r="T5" i="19"/>
  <c r="T6" i="19" s="1"/>
  <c r="O5" i="19"/>
  <c r="O6" i="19" s="1"/>
  <c r="J5" i="19"/>
  <c r="J6" i="19" s="1"/>
  <c r="B9" i="19"/>
  <c r="B18" i="19" s="1"/>
  <c r="C9" i="19"/>
  <c r="C18" i="19" s="1"/>
  <c r="D9" i="19"/>
  <c r="D18" i="19" s="1"/>
  <c r="E9" i="19"/>
  <c r="E18" i="19" s="1"/>
  <c r="F9" i="19"/>
  <c r="F18" i="19" s="1"/>
  <c r="G9" i="19"/>
  <c r="G18" i="19" s="1"/>
  <c r="AB5" i="19"/>
  <c r="AB6" i="19" s="1"/>
  <c r="P5" i="19"/>
  <c r="P6" i="19" s="1"/>
  <c r="M5" i="19"/>
  <c r="M6" i="19" s="1"/>
  <c r="U5" i="19"/>
  <c r="U6" i="19" s="1"/>
  <c r="D10" i="19"/>
  <c r="E42" i="17"/>
  <c r="E43" i="17" s="1"/>
  <c r="Y10" i="16"/>
  <c r="E10" i="16"/>
  <c r="B5" i="17"/>
  <c r="B6" i="17" s="1"/>
  <c r="D47" i="17"/>
  <c r="E14" i="16"/>
  <c r="E19" i="16" s="1"/>
  <c r="G10" i="17"/>
  <c r="AE5" i="16"/>
  <c r="AE6" i="16" s="1"/>
  <c r="AE5" i="17"/>
  <c r="AE6" i="17" s="1"/>
  <c r="K5" i="16"/>
  <c r="K6" i="16" s="1"/>
  <c r="K5" i="17"/>
  <c r="K6" i="17" s="1"/>
  <c r="Y5" i="16"/>
  <c r="Y6" i="16" s="1"/>
  <c r="Y5" i="17"/>
  <c r="Y6" i="17" s="1"/>
  <c r="C10" i="17"/>
  <c r="Z5" i="16"/>
  <c r="Z6" i="16" s="1"/>
  <c r="Z5" i="17"/>
  <c r="Z6" i="17" s="1"/>
  <c r="T5" i="16"/>
  <c r="T6" i="16" s="1"/>
  <c r="T5" i="17"/>
  <c r="T6" i="17" s="1"/>
  <c r="O5" i="16"/>
  <c r="O6" i="16" s="1"/>
  <c r="O5" i="17"/>
  <c r="O6" i="17" s="1"/>
  <c r="J5" i="16"/>
  <c r="J6" i="16" s="1"/>
  <c r="J5" i="17"/>
  <c r="J6" i="17" s="1"/>
  <c r="D19" i="17"/>
  <c r="B9" i="17"/>
  <c r="B18" i="17" s="1"/>
  <c r="D9" i="17"/>
  <c r="D18" i="17" s="1"/>
  <c r="C9" i="17"/>
  <c r="C18" i="17" s="1"/>
  <c r="E9" i="17"/>
  <c r="F9" i="17"/>
  <c r="AB5" i="16"/>
  <c r="AB6" i="16" s="1"/>
  <c r="AB5" i="17"/>
  <c r="AB6" i="17" s="1"/>
  <c r="P5" i="16"/>
  <c r="P6" i="16" s="1"/>
  <c r="P5" i="17"/>
  <c r="P6" i="17" s="1"/>
  <c r="M5" i="16"/>
  <c r="M6" i="16" s="1"/>
  <c r="M5" i="17"/>
  <c r="M6" i="17" s="1"/>
  <c r="U5" i="16"/>
  <c r="U6" i="16" s="1"/>
  <c r="U5" i="17"/>
  <c r="U6" i="17" s="1"/>
  <c r="D10" i="17"/>
  <c r="E10" i="17"/>
  <c r="G9" i="17"/>
  <c r="Q5" i="16"/>
  <c r="Q6" i="16" s="1"/>
  <c r="Q5" i="17"/>
  <c r="Q6" i="17" s="1"/>
  <c r="C5" i="16"/>
  <c r="C6" i="16" s="1"/>
  <c r="C5" i="17"/>
  <c r="C6" i="17" s="1"/>
  <c r="L5" i="16"/>
  <c r="L6" i="16" s="1"/>
  <c r="L5" i="17"/>
  <c r="L6" i="17" s="1"/>
  <c r="H5" i="16"/>
  <c r="H6" i="16" s="1"/>
  <c r="H5" i="17"/>
  <c r="H6" i="17" s="1"/>
  <c r="D5" i="16"/>
  <c r="D6" i="16" s="1"/>
  <c r="D5" i="17"/>
  <c r="D6" i="17" s="1"/>
  <c r="H10" i="17"/>
  <c r="I2" i="17"/>
  <c r="H9" i="17"/>
  <c r="V5" i="16"/>
  <c r="V6" i="16" s="1"/>
  <c r="V5" i="17"/>
  <c r="V6" i="17" s="1"/>
  <c r="W5" i="16"/>
  <c r="W6" i="16" s="1"/>
  <c r="W5" i="17"/>
  <c r="W6" i="17" s="1"/>
  <c r="G5" i="16"/>
  <c r="G6" i="16" s="1"/>
  <c r="G5" i="17"/>
  <c r="G6" i="17" s="1"/>
  <c r="F10" i="17"/>
  <c r="AD5" i="16"/>
  <c r="AD6" i="16" s="1"/>
  <c r="AD5" i="17"/>
  <c r="AD6" i="17" s="1"/>
  <c r="AA5" i="16"/>
  <c r="AA6" i="16" s="1"/>
  <c r="AA5" i="17"/>
  <c r="AA6" i="17" s="1"/>
  <c r="E5" i="16"/>
  <c r="E6" i="16" s="1"/>
  <c r="E5" i="17"/>
  <c r="E6" i="17" s="1"/>
  <c r="F8" i="17"/>
  <c r="E14" i="17"/>
  <c r="E19" i="17" s="1"/>
  <c r="AC5" i="16"/>
  <c r="AC6" i="16" s="1"/>
  <c r="AC5" i="17"/>
  <c r="AC6" i="17" s="1"/>
  <c r="X5" i="16"/>
  <c r="X6" i="16" s="1"/>
  <c r="X5" i="17"/>
  <c r="X6" i="17" s="1"/>
  <c r="R5" i="16"/>
  <c r="R6" i="16" s="1"/>
  <c r="R5" i="17"/>
  <c r="R6" i="17" s="1"/>
  <c r="S5" i="16"/>
  <c r="S6" i="16" s="1"/>
  <c r="S5" i="17"/>
  <c r="S6" i="17" s="1"/>
  <c r="I5" i="16"/>
  <c r="I6" i="16" s="1"/>
  <c r="I5" i="17"/>
  <c r="I6" i="17" s="1"/>
  <c r="F5" i="16"/>
  <c r="F6" i="16" s="1"/>
  <c r="F5" i="17"/>
  <c r="F6" i="17" s="1"/>
  <c r="N5" i="16"/>
  <c r="N6" i="16" s="1"/>
  <c r="N5" i="17"/>
  <c r="N6" i="17" s="1"/>
  <c r="B10" i="17"/>
  <c r="D36" i="16"/>
  <c r="F8" i="16"/>
  <c r="F31" i="16" s="1"/>
  <c r="E32" i="16"/>
  <c r="AA10" i="16"/>
  <c r="AC10" i="16"/>
  <c r="AB10" i="16"/>
  <c r="AB11" i="16" s="1"/>
  <c r="AE10" i="16"/>
  <c r="B9" i="16"/>
  <c r="B18" i="16" s="1"/>
  <c r="B34" i="16" s="1"/>
  <c r="AE9" i="16"/>
  <c r="AD10" i="16"/>
  <c r="B5" i="16"/>
  <c r="D10" i="16"/>
  <c r="C10" i="16"/>
  <c r="N10" i="16"/>
  <c r="B10" i="16"/>
  <c r="Z10" i="16"/>
  <c r="X10" i="16"/>
  <c r="W10" i="16"/>
  <c r="V10" i="16"/>
  <c r="U10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AA9" i="16"/>
  <c r="AB9" i="16"/>
  <c r="AC9" i="16"/>
  <c r="AD9" i="16"/>
  <c r="D9" i="16"/>
  <c r="L9" i="16"/>
  <c r="T9" i="16"/>
  <c r="P9" i="16"/>
  <c r="Q9" i="16"/>
  <c r="R9" i="16"/>
  <c r="S9" i="16"/>
  <c r="E9" i="16"/>
  <c r="M9" i="16"/>
  <c r="U9" i="16"/>
  <c r="X9" i="16"/>
  <c r="J9" i="16"/>
  <c r="F9" i="16"/>
  <c r="N9" i="16"/>
  <c r="V9" i="16"/>
  <c r="G9" i="16"/>
  <c r="O9" i="16"/>
  <c r="W9" i="16"/>
  <c r="Y9" i="16"/>
  <c r="Z9" i="16"/>
  <c r="H9" i="16"/>
  <c r="K9" i="16"/>
  <c r="I9" i="16"/>
  <c r="C9" i="16"/>
  <c r="AE11" i="16" l="1"/>
  <c r="AC11" i="16"/>
  <c r="AA11" i="16"/>
  <c r="AD11" i="16"/>
  <c r="H14" i="19"/>
  <c r="H18" i="19" s="1"/>
  <c r="I8" i="19"/>
  <c r="H42" i="19"/>
  <c r="H43" i="19" s="1"/>
  <c r="G47" i="19"/>
  <c r="G19" i="19"/>
  <c r="H11" i="19"/>
  <c r="C11" i="19"/>
  <c r="D11" i="19"/>
  <c r="G45" i="19"/>
  <c r="G46" i="19" s="1"/>
  <c r="E11" i="19"/>
  <c r="F45" i="19"/>
  <c r="F46" i="19" s="1"/>
  <c r="E45" i="19"/>
  <c r="E46" i="19" s="1"/>
  <c r="I11" i="19"/>
  <c r="D45" i="19"/>
  <c r="D46" i="19" s="1"/>
  <c r="F11" i="19"/>
  <c r="C45" i="19"/>
  <c r="G11" i="19"/>
  <c r="K2" i="19"/>
  <c r="J9" i="19"/>
  <c r="J10" i="19"/>
  <c r="B45" i="19"/>
  <c r="B46" i="19" s="1"/>
  <c r="B11" i="19"/>
  <c r="F42" i="17"/>
  <c r="F43" i="17" s="1"/>
  <c r="F44" i="17" s="1"/>
  <c r="E18" i="17"/>
  <c r="E38" i="17"/>
  <c r="E36" i="16"/>
  <c r="E18" i="16"/>
  <c r="E34" i="16" s="1"/>
  <c r="E35" i="16" s="1"/>
  <c r="M11" i="16"/>
  <c r="B11" i="16"/>
  <c r="B22" i="16" s="1"/>
  <c r="D11" i="16"/>
  <c r="I11" i="16"/>
  <c r="R11" i="16"/>
  <c r="E11" i="17"/>
  <c r="J11" i="16"/>
  <c r="B11" i="17"/>
  <c r="B33" i="17" s="1"/>
  <c r="F11" i="17"/>
  <c r="T11" i="16"/>
  <c r="H11" i="17"/>
  <c r="Z11" i="16"/>
  <c r="L11" i="16"/>
  <c r="U11" i="16"/>
  <c r="O11" i="16"/>
  <c r="W11" i="16"/>
  <c r="G11" i="17"/>
  <c r="C11" i="17"/>
  <c r="D11" i="17"/>
  <c r="K11" i="16"/>
  <c r="S11" i="16"/>
  <c r="N11" i="16"/>
  <c r="C11" i="16"/>
  <c r="V11" i="16"/>
  <c r="G11" i="16"/>
  <c r="P11" i="16"/>
  <c r="X11" i="16"/>
  <c r="E11" i="16"/>
  <c r="F11" i="16"/>
  <c r="H11" i="16"/>
  <c r="Q11" i="16"/>
  <c r="Y11" i="16"/>
  <c r="E47" i="17"/>
  <c r="I9" i="17"/>
  <c r="I10" i="17"/>
  <c r="J2" i="17"/>
  <c r="B45" i="17"/>
  <c r="B46" i="17" s="1"/>
  <c r="G8" i="17"/>
  <c r="F14" i="17"/>
  <c r="F19" i="17" s="1"/>
  <c r="G8" i="16"/>
  <c r="G31" i="16" s="1"/>
  <c r="F32" i="16"/>
  <c r="F33" i="16" s="1"/>
  <c r="D18" i="16"/>
  <c r="D34" i="16" s="1"/>
  <c r="D35" i="16" s="1"/>
  <c r="C18" i="16"/>
  <c r="C34" i="16" s="1"/>
  <c r="B35" i="16"/>
  <c r="F14" i="16"/>
  <c r="F19" i="16" s="1"/>
  <c r="B6" i="16"/>
  <c r="H38" i="19" l="1"/>
  <c r="C46" i="19"/>
  <c r="H19" i="19"/>
  <c r="B34" i="17" a="1"/>
  <c r="B34" i="17" s="1"/>
  <c r="B36" i="17" s="1"/>
  <c r="B37" i="17" s="1"/>
  <c r="C35" i="16"/>
  <c r="H47" i="19"/>
  <c r="I14" i="19"/>
  <c r="I18" i="19" s="1"/>
  <c r="I42" i="19"/>
  <c r="I43" i="19" s="1"/>
  <c r="J8" i="19"/>
  <c r="H45" i="19"/>
  <c r="H46" i="19" s="1"/>
  <c r="J11" i="19"/>
  <c r="K9" i="19"/>
  <c r="K10" i="19"/>
  <c r="L2" i="19"/>
  <c r="B33" i="19"/>
  <c r="B23" i="19"/>
  <c r="G42" i="17"/>
  <c r="G43" i="17" s="1"/>
  <c r="F38" i="17"/>
  <c r="F39" i="17" s="1"/>
  <c r="C33" i="17"/>
  <c r="B23" i="17"/>
  <c r="F18" i="17"/>
  <c r="I11" i="17"/>
  <c r="E45" i="17"/>
  <c r="E46" i="17" s="1"/>
  <c r="D45" i="17"/>
  <c r="D46" i="17" s="1"/>
  <c r="C45" i="17"/>
  <c r="F47" i="17"/>
  <c r="F48" i="17" s="1"/>
  <c r="G14" i="17"/>
  <c r="G18" i="17" s="1"/>
  <c r="H8" i="17"/>
  <c r="J9" i="17"/>
  <c r="J10" i="17"/>
  <c r="K2" i="17"/>
  <c r="F36" i="16"/>
  <c r="F37" i="16" s="1"/>
  <c r="H8" i="16"/>
  <c r="H31" i="16" s="1"/>
  <c r="G32" i="16"/>
  <c r="F18" i="16"/>
  <c r="F34" i="16" s="1"/>
  <c r="F35" i="16" s="1"/>
  <c r="G14" i="16"/>
  <c r="B23" i="16"/>
  <c r="B27" i="16" s="1"/>
  <c r="I47" i="19" l="1"/>
  <c r="C46" i="17"/>
  <c r="C23" i="17"/>
  <c r="D23" i="17" s="1"/>
  <c r="E23" i="17" s="1"/>
  <c r="I19" i="19"/>
  <c r="I38" i="19"/>
  <c r="J14" i="19"/>
  <c r="J38" i="19" s="1"/>
  <c r="J42" i="19"/>
  <c r="J43" i="19" s="1"/>
  <c r="K8" i="19"/>
  <c r="I45" i="19"/>
  <c r="K11" i="19"/>
  <c r="B24" i="19"/>
  <c r="C23" i="19"/>
  <c r="L9" i="19"/>
  <c r="L10" i="19"/>
  <c r="M2" i="19"/>
  <c r="B34" i="19" a="1"/>
  <c r="B34" i="19" s="1"/>
  <c r="C33" i="19"/>
  <c r="G38" i="17"/>
  <c r="D33" i="17"/>
  <c r="C34" i="17" a="1"/>
  <c r="C34" i="17" s="1"/>
  <c r="B24" i="17"/>
  <c r="H42" i="17"/>
  <c r="H43" i="17" s="1"/>
  <c r="G36" i="16"/>
  <c r="J11" i="17"/>
  <c r="G45" i="17"/>
  <c r="G46" i="17" s="1"/>
  <c r="G19" i="17"/>
  <c r="F45" i="17"/>
  <c r="F46" i="17" s="1"/>
  <c r="G47" i="17"/>
  <c r="K10" i="17"/>
  <c r="K9" i="17"/>
  <c r="L2" i="17"/>
  <c r="H14" i="17"/>
  <c r="H19" i="17" s="1"/>
  <c r="I8" i="17"/>
  <c r="B25" i="16"/>
  <c r="I8" i="16"/>
  <c r="I31" i="16" s="1"/>
  <c r="H32" i="16"/>
  <c r="B26" i="16"/>
  <c r="G19" i="16"/>
  <c r="G18" i="16"/>
  <c r="G34" i="16" s="1"/>
  <c r="H14" i="16"/>
  <c r="C22" i="16"/>
  <c r="C23" i="16" s="1"/>
  <c r="I46" i="19" l="1"/>
  <c r="C24" i="17"/>
  <c r="C28" i="17" s="1"/>
  <c r="B28" i="17"/>
  <c r="G35" i="16"/>
  <c r="J18" i="19"/>
  <c r="J45" i="19" s="1"/>
  <c r="J46" i="19" s="1"/>
  <c r="J19" i="19"/>
  <c r="K14" i="19"/>
  <c r="K18" i="19" s="1"/>
  <c r="K42" i="19"/>
  <c r="K43" i="19" s="1"/>
  <c r="L8" i="19"/>
  <c r="J47" i="19"/>
  <c r="L11" i="19"/>
  <c r="C24" i="19"/>
  <c r="D23" i="19"/>
  <c r="B28" i="19"/>
  <c r="B26" i="19"/>
  <c r="B27" i="19" s="1"/>
  <c r="C34" i="19" a="1"/>
  <c r="C34" i="19" s="1"/>
  <c r="C36" i="19" s="1"/>
  <c r="C37" i="19" s="1"/>
  <c r="D33" i="19"/>
  <c r="B36" i="19"/>
  <c r="B37" i="19" s="1"/>
  <c r="M10" i="19"/>
  <c r="N2" i="19"/>
  <c r="M9" i="19"/>
  <c r="C36" i="17"/>
  <c r="C37" i="17" s="1"/>
  <c r="H38" i="17"/>
  <c r="B26" i="17"/>
  <c r="B27" i="17" s="1"/>
  <c r="E33" i="17"/>
  <c r="D34" i="17" a="1"/>
  <c r="D34" i="17" s="1"/>
  <c r="D36" i="17" s="1"/>
  <c r="D37" i="17" s="1"/>
  <c r="F23" i="17"/>
  <c r="H18" i="17"/>
  <c r="I42" i="17"/>
  <c r="I43" i="17" s="1"/>
  <c r="K11" i="17"/>
  <c r="H36" i="16"/>
  <c r="I14" i="17"/>
  <c r="I19" i="17" s="1"/>
  <c r="J8" i="17"/>
  <c r="L9" i="17"/>
  <c r="M2" i="17"/>
  <c r="L10" i="17"/>
  <c r="D24" i="17"/>
  <c r="H47" i="17"/>
  <c r="I14" i="16"/>
  <c r="J8" i="16"/>
  <c r="J31" i="16" s="1"/>
  <c r="I32" i="16"/>
  <c r="C26" i="16"/>
  <c r="C25" i="16"/>
  <c r="H19" i="16"/>
  <c r="H18" i="16"/>
  <c r="H34" i="16" s="1"/>
  <c r="H35" i="16" s="1"/>
  <c r="D22" i="16"/>
  <c r="D23" i="16" s="1"/>
  <c r="C27" i="16"/>
  <c r="C26" i="17" l="1"/>
  <c r="C27" i="17" s="1"/>
  <c r="K47" i="19"/>
  <c r="K48" i="19" s="1"/>
  <c r="K19" i="19"/>
  <c r="K38" i="19"/>
  <c r="K39" i="19" s="1"/>
  <c r="K45" i="19"/>
  <c r="K46" i="19" s="1"/>
  <c r="K44" i="19"/>
  <c r="L14" i="19"/>
  <c r="L18" i="19" s="1"/>
  <c r="L42" i="19"/>
  <c r="L43" i="19" s="1"/>
  <c r="M8" i="19"/>
  <c r="C28" i="19"/>
  <c r="C26" i="19"/>
  <c r="C27" i="19" s="1"/>
  <c r="D24" i="19"/>
  <c r="E23" i="19"/>
  <c r="D34" i="19" a="1"/>
  <c r="D34" i="19" s="1"/>
  <c r="D36" i="19" s="1"/>
  <c r="D37" i="19" s="1"/>
  <c r="E33" i="19"/>
  <c r="N42" i="19"/>
  <c r="N43" i="19" s="1"/>
  <c r="N47" i="19" s="1"/>
  <c r="N19" i="19"/>
  <c r="N38" i="19"/>
  <c r="O8" i="19"/>
  <c r="O14" i="19" s="1"/>
  <c r="M11" i="19"/>
  <c r="N10" i="19"/>
  <c r="O2" i="19"/>
  <c r="N9" i="19"/>
  <c r="N18" i="19" s="1"/>
  <c r="I38" i="17"/>
  <c r="D26" i="17"/>
  <c r="D27" i="17" s="1"/>
  <c r="D28" i="17"/>
  <c r="F33" i="17"/>
  <c r="E34" i="17" a="1"/>
  <c r="E34" i="17" s="1"/>
  <c r="E36" i="17" s="1"/>
  <c r="E37" i="17" s="1"/>
  <c r="G23" i="17"/>
  <c r="I18" i="17"/>
  <c r="J42" i="17"/>
  <c r="J43" i="17" s="1"/>
  <c r="L11" i="17"/>
  <c r="E24" i="17"/>
  <c r="I47" i="17"/>
  <c r="J14" i="17"/>
  <c r="J18" i="17" s="1"/>
  <c r="K8" i="17"/>
  <c r="N2" i="17"/>
  <c r="M10" i="17"/>
  <c r="M9" i="17"/>
  <c r="H45" i="17"/>
  <c r="I36" i="16"/>
  <c r="I18" i="16"/>
  <c r="I34" i="16" s="1"/>
  <c r="I35" i="16" s="1"/>
  <c r="I19" i="16"/>
  <c r="J14" i="16"/>
  <c r="K8" i="16"/>
  <c r="K31" i="16" s="1"/>
  <c r="J32" i="16"/>
  <c r="D26" i="16"/>
  <c r="D25" i="16"/>
  <c r="E22" i="16"/>
  <c r="E23" i="16" s="1"/>
  <c r="H46" i="17" l="1"/>
  <c r="L38" i="19"/>
  <c r="L47" i="19"/>
  <c r="L19" i="19"/>
  <c r="L45" i="19"/>
  <c r="L46" i="19" s="1"/>
  <c r="M14" i="19"/>
  <c r="M19" i="19" s="1"/>
  <c r="M42" i="19"/>
  <c r="M43" i="19" s="1"/>
  <c r="N45" i="19"/>
  <c r="N46" i="19" s="1"/>
  <c r="P2" i="19"/>
  <c r="O9" i="19"/>
  <c r="O18" i="19" s="1"/>
  <c r="O10" i="19"/>
  <c r="D28" i="19"/>
  <c r="D26" i="19"/>
  <c r="D27" i="19" s="1"/>
  <c r="E34" i="19" a="1"/>
  <c r="E34" i="19" s="1"/>
  <c r="E36" i="19" s="1"/>
  <c r="E37" i="19" s="1"/>
  <c r="F33" i="19"/>
  <c r="E24" i="19"/>
  <c r="F23" i="19"/>
  <c r="N11" i="19"/>
  <c r="O38" i="19"/>
  <c r="O19" i="19"/>
  <c r="P8" i="19"/>
  <c r="P14" i="19" s="1"/>
  <c r="O42" i="19"/>
  <c r="O43" i="19" s="1"/>
  <c r="O47" i="19" s="1"/>
  <c r="J38" i="17"/>
  <c r="E26" i="17"/>
  <c r="E27" i="17" s="1"/>
  <c r="E28" i="17"/>
  <c r="G33" i="17"/>
  <c r="F34" i="17" a="1"/>
  <c r="F34" i="17" s="1"/>
  <c r="H23" i="17"/>
  <c r="K42" i="17"/>
  <c r="K43" i="17" s="1"/>
  <c r="K44" i="17" s="1"/>
  <c r="M11" i="17"/>
  <c r="J47" i="17"/>
  <c r="J36" i="16"/>
  <c r="J19" i="17"/>
  <c r="F24" i="17"/>
  <c r="F25" i="17" s="1"/>
  <c r="N10" i="17"/>
  <c r="N9" i="17"/>
  <c r="O2" i="17"/>
  <c r="I45" i="17"/>
  <c r="I46" i="17" s="1"/>
  <c r="K14" i="17"/>
  <c r="K18" i="17" s="1"/>
  <c r="L8" i="17"/>
  <c r="J19" i="16"/>
  <c r="J18" i="16"/>
  <c r="J34" i="16" s="1"/>
  <c r="J35" i="16" s="1"/>
  <c r="L8" i="16"/>
  <c r="L31" i="16" s="1"/>
  <c r="K32" i="16"/>
  <c r="K33" i="16" s="1"/>
  <c r="K14" i="16"/>
  <c r="K19" i="16" s="1"/>
  <c r="E26" i="16"/>
  <c r="E25" i="16"/>
  <c r="E27" i="16"/>
  <c r="F22" i="16"/>
  <c r="F23" i="16" s="1"/>
  <c r="M47" i="19" l="1"/>
  <c r="F36" i="17"/>
  <c r="F37" i="17" s="1"/>
  <c r="F35" i="17"/>
  <c r="M38" i="19"/>
  <c r="M18" i="19"/>
  <c r="M45" i="19" s="1"/>
  <c r="M46" i="19" s="1"/>
  <c r="O11" i="19"/>
  <c r="F34" i="19" a="1"/>
  <c r="F34" i="19" s="1"/>
  <c r="F35" i="19" s="1"/>
  <c r="G33" i="19"/>
  <c r="Q2" i="19"/>
  <c r="P9" i="19"/>
  <c r="P18" i="19" s="1"/>
  <c r="P10" i="19"/>
  <c r="O45" i="19"/>
  <c r="O46" i="19" s="1"/>
  <c r="F24" i="19"/>
  <c r="F25" i="19" s="1"/>
  <c r="G23" i="19"/>
  <c r="E28" i="19"/>
  <c r="E26" i="19"/>
  <c r="E27" i="19" s="1"/>
  <c r="Q8" i="19"/>
  <c r="Q14" i="19" s="1"/>
  <c r="P42" i="19"/>
  <c r="P43" i="19" s="1"/>
  <c r="P44" i="19" s="1"/>
  <c r="P19" i="19"/>
  <c r="P38" i="19"/>
  <c r="K38" i="17"/>
  <c r="K39" i="17" s="1"/>
  <c r="F26" i="17"/>
  <c r="F27" i="17" s="1"/>
  <c r="F28" i="17"/>
  <c r="F29" i="17" s="1"/>
  <c r="H33" i="17"/>
  <c r="G34" i="17" a="1"/>
  <c r="G34" i="17" s="1"/>
  <c r="G36" i="17" s="1"/>
  <c r="G37" i="17" s="1"/>
  <c r="I23" i="17"/>
  <c r="L42" i="17"/>
  <c r="L43" i="17" s="1"/>
  <c r="N11" i="17"/>
  <c r="K47" i="17"/>
  <c r="K48" i="17" s="1"/>
  <c r="P2" i="17"/>
  <c r="O10" i="17"/>
  <c r="O9" i="17"/>
  <c r="G24" i="17"/>
  <c r="K19" i="17"/>
  <c r="J45" i="17"/>
  <c r="J46" i="17" s="1"/>
  <c r="L14" i="17"/>
  <c r="L18" i="17" s="1"/>
  <c r="M8" i="17"/>
  <c r="L14" i="16"/>
  <c r="L19" i="16" s="1"/>
  <c r="K18" i="16"/>
  <c r="K34" i="16" s="1"/>
  <c r="K35" i="16" s="1"/>
  <c r="K36" i="16"/>
  <c r="K37" i="16" s="1"/>
  <c r="M8" i="16"/>
  <c r="M31" i="16" s="1"/>
  <c r="L32" i="16"/>
  <c r="F26" i="16"/>
  <c r="F25" i="16"/>
  <c r="F27" i="16"/>
  <c r="G22" i="16"/>
  <c r="G23" i="16" s="1"/>
  <c r="D27" i="16"/>
  <c r="P39" i="19" l="1"/>
  <c r="P11" i="19"/>
  <c r="P45" i="19"/>
  <c r="P46" i="19" s="1"/>
  <c r="F36" i="19"/>
  <c r="F37" i="19" s="1"/>
  <c r="Q38" i="19"/>
  <c r="R8" i="19"/>
  <c r="R14" i="19" s="1"/>
  <c r="Q42" i="19"/>
  <c r="Q43" i="19" s="1"/>
  <c r="Q47" i="19" s="1"/>
  <c r="Q19" i="19"/>
  <c r="G34" i="19" a="1"/>
  <c r="G34" i="19" s="1"/>
  <c r="H33" i="19"/>
  <c r="G24" i="19"/>
  <c r="H23" i="19"/>
  <c r="R2" i="19"/>
  <c r="Q9" i="19"/>
  <c r="Q18" i="19" s="1"/>
  <c r="Q10" i="19"/>
  <c r="P47" i="19"/>
  <c r="P48" i="19" s="1"/>
  <c r="F28" i="19"/>
  <c r="F29" i="19" s="1"/>
  <c r="F26" i="19"/>
  <c r="F27" i="19" s="1"/>
  <c r="L38" i="17"/>
  <c r="G26" i="17"/>
  <c r="G27" i="17" s="1"/>
  <c r="G28" i="17"/>
  <c r="I33" i="17"/>
  <c r="H34" i="17" a="1"/>
  <c r="H34" i="17" s="1"/>
  <c r="H36" i="17" s="1"/>
  <c r="H37" i="17" s="1"/>
  <c r="J23" i="17"/>
  <c r="M42" i="17"/>
  <c r="M43" i="17" s="1"/>
  <c r="O11" i="17"/>
  <c r="L36" i="16"/>
  <c r="L18" i="16"/>
  <c r="L34" i="16" s="1"/>
  <c r="L35" i="16" s="1"/>
  <c r="L47" i="17"/>
  <c r="M14" i="17"/>
  <c r="M19" i="17" s="1"/>
  <c r="N8" i="17"/>
  <c r="L19" i="17"/>
  <c r="H24" i="17"/>
  <c r="Q2" i="17"/>
  <c r="P10" i="17"/>
  <c r="P9" i="17"/>
  <c r="K45" i="17"/>
  <c r="K46" i="17" s="1"/>
  <c r="M14" i="16"/>
  <c r="M19" i="16" s="1"/>
  <c r="N8" i="16"/>
  <c r="N31" i="16" s="1"/>
  <c r="M32" i="16"/>
  <c r="G26" i="16"/>
  <c r="G25" i="16"/>
  <c r="H22" i="16"/>
  <c r="H23" i="16" s="1"/>
  <c r="Q11" i="19" l="1"/>
  <c r="S2" i="19"/>
  <c r="R10" i="19"/>
  <c r="R9" i="19"/>
  <c r="R18" i="19" s="1"/>
  <c r="H24" i="19"/>
  <c r="I23" i="19"/>
  <c r="G28" i="19"/>
  <c r="G26" i="19"/>
  <c r="G27" i="19" s="1"/>
  <c r="H34" i="19" a="1"/>
  <c r="H34" i="19" s="1"/>
  <c r="H36" i="19" s="1"/>
  <c r="H37" i="19" s="1"/>
  <c r="I33" i="19"/>
  <c r="Q45" i="19"/>
  <c r="Q46" i="19" s="1"/>
  <c r="G36" i="19"/>
  <c r="G37" i="19" s="1"/>
  <c r="R19" i="19"/>
  <c r="R38" i="19"/>
  <c r="R42" i="19"/>
  <c r="R43" i="19" s="1"/>
  <c r="R47" i="19" s="1"/>
  <c r="S8" i="19"/>
  <c r="S14" i="19" s="1"/>
  <c r="M38" i="17"/>
  <c r="H26" i="17"/>
  <c r="H27" i="17" s="1"/>
  <c r="H28" i="17"/>
  <c r="J33" i="17"/>
  <c r="I34" i="17" a="1"/>
  <c r="I34" i="17" s="1"/>
  <c r="I36" i="17" s="1"/>
  <c r="I37" i="17" s="1"/>
  <c r="K23" i="17"/>
  <c r="M18" i="17"/>
  <c r="N42" i="17"/>
  <c r="N43" i="17" s="1"/>
  <c r="P11" i="17"/>
  <c r="I24" i="17"/>
  <c r="M47" i="17"/>
  <c r="Q9" i="17"/>
  <c r="Q10" i="17"/>
  <c r="R2" i="17"/>
  <c r="L45" i="17"/>
  <c r="L46" i="17" s="1"/>
  <c r="O8" i="17"/>
  <c r="N14" i="17"/>
  <c r="N18" i="17" s="1"/>
  <c r="M36" i="16"/>
  <c r="N14" i="16"/>
  <c r="N19" i="16" s="1"/>
  <c r="M18" i="16"/>
  <c r="M34" i="16" s="1"/>
  <c r="M35" i="16" s="1"/>
  <c r="O8" i="16"/>
  <c r="O31" i="16" s="1"/>
  <c r="N32" i="16"/>
  <c r="H26" i="16"/>
  <c r="H25" i="16"/>
  <c r="G27" i="16"/>
  <c r="I22" i="16"/>
  <c r="I23" i="16" s="1"/>
  <c r="H27" i="16"/>
  <c r="O14" i="16" l="1"/>
  <c r="O18" i="16" s="1"/>
  <c r="R11" i="19"/>
  <c r="S19" i="19"/>
  <c r="S38" i="19"/>
  <c r="S42" i="19"/>
  <c r="S43" i="19" s="1"/>
  <c r="S47" i="19" s="1"/>
  <c r="T8" i="19"/>
  <c r="T14" i="19" s="1"/>
  <c r="I24" i="19"/>
  <c r="J23" i="19"/>
  <c r="R45" i="19"/>
  <c r="R46" i="19" s="1"/>
  <c r="H28" i="19"/>
  <c r="H26" i="19"/>
  <c r="H27" i="19" s="1"/>
  <c r="I34" i="19" a="1"/>
  <c r="I34" i="19" s="1"/>
  <c r="I36" i="19" s="1"/>
  <c r="I37" i="19" s="1"/>
  <c r="J33" i="19"/>
  <c r="S9" i="19"/>
  <c r="S18" i="19" s="1"/>
  <c r="S10" i="19"/>
  <c r="T2" i="19"/>
  <c r="N38" i="17"/>
  <c r="I26" i="17"/>
  <c r="I27" i="17" s="1"/>
  <c r="I28" i="17"/>
  <c r="K33" i="17"/>
  <c r="J34" i="17" a="1"/>
  <c r="J34" i="17" s="1"/>
  <c r="J36" i="17" s="1"/>
  <c r="J37" i="17" s="1"/>
  <c r="L23" i="17"/>
  <c r="O42" i="17"/>
  <c r="O43" i="17" s="1"/>
  <c r="Q11" i="17"/>
  <c r="N19" i="17"/>
  <c r="N47" i="17"/>
  <c r="P8" i="17"/>
  <c r="O14" i="17"/>
  <c r="O18" i="17" s="1"/>
  <c r="R10" i="17"/>
  <c r="R9" i="17"/>
  <c r="S2" i="17"/>
  <c r="N45" i="17"/>
  <c r="N46" i="17" s="1"/>
  <c r="J24" i="17"/>
  <c r="M45" i="17"/>
  <c r="M46" i="17" s="1"/>
  <c r="N36" i="16"/>
  <c r="N18" i="16"/>
  <c r="N34" i="16" s="1"/>
  <c r="N35" i="16" s="1"/>
  <c r="P8" i="16"/>
  <c r="P31" i="16" s="1"/>
  <c r="O32" i="16"/>
  <c r="O36" i="16" s="1"/>
  <c r="I26" i="16"/>
  <c r="I25" i="16"/>
  <c r="J22" i="16"/>
  <c r="J23" i="16" s="1"/>
  <c r="O19" i="16" l="1"/>
  <c r="S11" i="19"/>
  <c r="S45" i="19"/>
  <c r="S46" i="19" s="1"/>
  <c r="T9" i="19"/>
  <c r="T18" i="19" s="1"/>
  <c r="T10" i="19"/>
  <c r="U2" i="19"/>
  <c r="J34" i="19" a="1"/>
  <c r="J34" i="19" s="1"/>
  <c r="J36" i="19" s="1"/>
  <c r="J37" i="19" s="1"/>
  <c r="K33" i="19"/>
  <c r="J24" i="19"/>
  <c r="K23" i="19"/>
  <c r="I28" i="19"/>
  <c r="I26" i="19"/>
  <c r="I27" i="19" s="1"/>
  <c r="T38" i="19"/>
  <c r="T19" i="19"/>
  <c r="T42" i="19"/>
  <c r="T43" i="19" s="1"/>
  <c r="T47" i="19" s="1"/>
  <c r="U8" i="19"/>
  <c r="U14" i="19" s="1"/>
  <c r="O38" i="17"/>
  <c r="J26" i="17"/>
  <c r="J27" i="17" s="1"/>
  <c r="J28" i="17"/>
  <c r="K34" i="17" a="1"/>
  <c r="K34" i="17" s="1"/>
  <c r="L33" i="17"/>
  <c r="M23" i="17"/>
  <c r="O45" i="17"/>
  <c r="O46" i="17" s="1"/>
  <c r="P42" i="17"/>
  <c r="P43" i="17" s="1"/>
  <c r="P44" i="17" s="1"/>
  <c r="R11" i="17"/>
  <c r="O34" i="16"/>
  <c r="O35" i="16" s="1"/>
  <c r="Q8" i="17"/>
  <c r="P14" i="17"/>
  <c r="P18" i="17" s="1"/>
  <c r="K24" i="17"/>
  <c r="O19" i="17"/>
  <c r="O47" i="17"/>
  <c r="S10" i="17"/>
  <c r="S9" i="17"/>
  <c r="T2" i="17"/>
  <c r="P14" i="16"/>
  <c r="P19" i="16" s="1"/>
  <c r="Q8" i="16"/>
  <c r="Q31" i="16" s="1"/>
  <c r="P32" i="16"/>
  <c r="P33" i="16" s="1"/>
  <c r="J26" i="16"/>
  <c r="J25" i="16"/>
  <c r="I27" i="16"/>
  <c r="J27" i="16"/>
  <c r="K22" i="16"/>
  <c r="T11" i="19" l="1"/>
  <c r="T45" i="19"/>
  <c r="T46" i="19" s="1"/>
  <c r="U10" i="19"/>
  <c r="V2" i="19"/>
  <c r="U9" i="19"/>
  <c r="U18" i="19" s="1"/>
  <c r="K24" i="19"/>
  <c r="L23" i="19"/>
  <c r="J28" i="19"/>
  <c r="J26" i="19"/>
  <c r="J27" i="19" s="1"/>
  <c r="K34" i="19" a="1"/>
  <c r="K34" i="19" s="1"/>
  <c r="L33" i="19"/>
  <c r="U38" i="19"/>
  <c r="U39" i="19" s="1"/>
  <c r="U19" i="19"/>
  <c r="U42" i="19"/>
  <c r="U43" i="19" s="1"/>
  <c r="U44" i="19" s="1"/>
  <c r="V8" i="19"/>
  <c r="V14" i="19" s="1"/>
  <c r="K36" i="17"/>
  <c r="K37" i="17" s="1"/>
  <c r="K35" i="17"/>
  <c r="P38" i="17"/>
  <c r="P39" i="17" s="1"/>
  <c r="K26" i="17"/>
  <c r="K27" i="17" s="1"/>
  <c r="K28" i="17"/>
  <c r="K29" i="17" s="1"/>
  <c r="M33" i="17"/>
  <c r="L34" i="17" a="1"/>
  <c r="L34" i="17" s="1"/>
  <c r="L36" i="17" s="1"/>
  <c r="L37" i="17" s="1"/>
  <c r="N23" i="17"/>
  <c r="Q42" i="17"/>
  <c r="Q43" i="17" s="1"/>
  <c r="P18" i="16"/>
  <c r="P34" i="16" s="1"/>
  <c r="P35" i="16" s="1"/>
  <c r="K23" i="16"/>
  <c r="K26" i="16" s="1"/>
  <c r="L22" i="16"/>
  <c r="L23" i="16" s="1"/>
  <c r="S11" i="17"/>
  <c r="Q14" i="16"/>
  <c r="Q19" i="16" s="1"/>
  <c r="P47" i="17"/>
  <c r="P48" i="17" s="1"/>
  <c r="P19" i="17"/>
  <c r="K25" i="17"/>
  <c r="L24" i="17"/>
  <c r="T9" i="17"/>
  <c r="U2" i="17"/>
  <c r="T10" i="17"/>
  <c r="Q14" i="17"/>
  <c r="Q19" i="17" s="1"/>
  <c r="R8" i="17"/>
  <c r="P36" i="16"/>
  <c r="P37" i="16" s="1"/>
  <c r="R8" i="16"/>
  <c r="R31" i="16" s="1"/>
  <c r="Q32" i="16"/>
  <c r="U45" i="19" l="1"/>
  <c r="U46" i="19" s="1"/>
  <c r="V10" i="19"/>
  <c r="W2" i="19"/>
  <c r="V9" i="19"/>
  <c r="V18" i="19" s="1"/>
  <c r="V42" i="19"/>
  <c r="V43" i="19" s="1"/>
  <c r="V47" i="19" s="1"/>
  <c r="V38" i="19"/>
  <c r="V19" i="19"/>
  <c r="W8" i="19"/>
  <c r="W14" i="19" s="1"/>
  <c r="L34" i="19" a="1"/>
  <c r="L34" i="19" s="1"/>
  <c r="L36" i="19" s="1"/>
  <c r="L37" i="19" s="1"/>
  <c r="M33" i="19"/>
  <c r="U11" i="19"/>
  <c r="K36" i="19"/>
  <c r="K37" i="19" s="1"/>
  <c r="K35" i="19"/>
  <c r="L24" i="19"/>
  <c r="M23" i="19"/>
  <c r="U47" i="19"/>
  <c r="K28" i="19"/>
  <c r="K29" i="19" s="1"/>
  <c r="K26" i="19"/>
  <c r="K27" i="19" s="1"/>
  <c r="K25" i="19"/>
  <c r="Q38" i="17"/>
  <c r="L26" i="17"/>
  <c r="L27" i="17" s="1"/>
  <c r="L28" i="17"/>
  <c r="N33" i="17"/>
  <c r="M34" i="17" a="1"/>
  <c r="M34" i="17" s="1"/>
  <c r="M36" i="17" s="1"/>
  <c r="M37" i="17" s="1"/>
  <c r="O23" i="17"/>
  <c r="Q18" i="17"/>
  <c r="R42" i="17"/>
  <c r="R43" i="17" s="1"/>
  <c r="K25" i="16"/>
  <c r="K24" i="16"/>
  <c r="Q36" i="16"/>
  <c r="Q18" i="16"/>
  <c r="Q34" i="16" s="1"/>
  <c r="Q35" i="16" s="1"/>
  <c r="T11" i="17"/>
  <c r="Q47" i="17"/>
  <c r="M24" i="17"/>
  <c r="P45" i="17"/>
  <c r="P46" i="17" s="1"/>
  <c r="R14" i="17"/>
  <c r="R19" i="17" s="1"/>
  <c r="S8" i="17"/>
  <c r="V2" i="17"/>
  <c r="U10" i="17"/>
  <c r="U9" i="17"/>
  <c r="R14" i="16"/>
  <c r="S8" i="16"/>
  <c r="S31" i="16" s="1"/>
  <c r="R32" i="16"/>
  <c r="L26" i="16"/>
  <c r="L25" i="16"/>
  <c r="K27" i="16"/>
  <c r="L27" i="16"/>
  <c r="M22" i="16"/>
  <c r="M23" i="16" s="1"/>
  <c r="K28" i="16" l="1"/>
  <c r="U48" i="19"/>
  <c r="V45" i="19"/>
  <c r="V46" i="19" s="1"/>
  <c r="W42" i="19"/>
  <c r="W43" i="19" s="1"/>
  <c r="W47" i="19" s="1"/>
  <c r="W19" i="19"/>
  <c r="X8" i="19"/>
  <c r="X14" i="19" s="1"/>
  <c r="W38" i="19"/>
  <c r="L28" i="19"/>
  <c r="L26" i="19"/>
  <c r="L27" i="19" s="1"/>
  <c r="W9" i="19"/>
  <c r="W18" i="19" s="1"/>
  <c r="X2" i="19"/>
  <c r="W10" i="19"/>
  <c r="M24" i="19"/>
  <c r="N23" i="19"/>
  <c r="V11" i="19"/>
  <c r="M34" i="19" a="1"/>
  <c r="M34" i="19" s="1"/>
  <c r="M36" i="19" s="1"/>
  <c r="M37" i="19" s="1"/>
  <c r="N33" i="19"/>
  <c r="R38" i="17"/>
  <c r="M26" i="17"/>
  <c r="M27" i="17" s="1"/>
  <c r="M28" i="17"/>
  <c r="O33" i="17"/>
  <c r="N34" i="17" a="1"/>
  <c r="N34" i="17" s="1"/>
  <c r="N36" i="17" s="1"/>
  <c r="N37" i="17" s="1"/>
  <c r="P23" i="17"/>
  <c r="R18" i="17"/>
  <c r="S42" i="17"/>
  <c r="S43" i="17" s="1"/>
  <c r="U11" i="17"/>
  <c r="S14" i="16"/>
  <c r="S19" i="16" s="1"/>
  <c r="R47" i="17"/>
  <c r="Q45" i="17"/>
  <c r="Q46" i="17" s="1"/>
  <c r="V10" i="17"/>
  <c r="W2" i="17"/>
  <c r="V9" i="17"/>
  <c r="N24" i="17"/>
  <c r="S14" i="17"/>
  <c r="S18" i="17" s="1"/>
  <c r="T8" i="17"/>
  <c r="R36" i="16"/>
  <c r="R19" i="16"/>
  <c r="R18" i="16"/>
  <c r="R34" i="16" s="1"/>
  <c r="R35" i="16" s="1"/>
  <c r="T8" i="16"/>
  <c r="T31" i="16" s="1"/>
  <c r="S32" i="16"/>
  <c r="M26" i="16"/>
  <c r="M25" i="16"/>
  <c r="N22" i="16"/>
  <c r="N23" i="16" s="1"/>
  <c r="M27" i="16"/>
  <c r="W45" i="19" l="1"/>
  <c r="W46" i="19" s="1"/>
  <c r="N34" i="19" a="1"/>
  <c r="N34" i="19" s="1"/>
  <c r="N36" i="19" s="1"/>
  <c r="N37" i="19" s="1"/>
  <c r="O33" i="19"/>
  <c r="X9" i="19"/>
  <c r="X18" i="19" s="1"/>
  <c r="Y2" i="19"/>
  <c r="X10" i="19"/>
  <c r="N24" i="19"/>
  <c r="O23" i="19"/>
  <c r="M28" i="19"/>
  <c r="M26" i="19"/>
  <c r="M27" i="19" s="1"/>
  <c r="X19" i="19"/>
  <c r="X42" i="19"/>
  <c r="X43" i="19" s="1"/>
  <c r="X47" i="19" s="1"/>
  <c r="Y8" i="19"/>
  <c r="Y14" i="19" s="1"/>
  <c r="X38" i="19"/>
  <c r="W11" i="19"/>
  <c r="S38" i="17"/>
  <c r="N26" i="17"/>
  <c r="N27" i="17" s="1"/>
  <c r="N28" i="17"/>
  <c r="P33" i="17"/>
  <c r="O34" i="17" a="1"/>
  <c r="O34" i="17" s="1"/>
  <c r="O36" i="17" s="1"/>
  <c r="O37" i="17" s="1"/>
  <c r="Q23" i="17"/>
  <c r="S45" i="17"/>
  <c r="S46" i="17" s="1"/>
  <c r="T42" i="17"/>
  <c r="T43" i="17" s="1"/>
  <c r="S36" i="16"/>
  <c r="S19" i="17"/>
  <c r="V11" i="17"/>
  <c r="S18" i="16"/>
  <c r="S34" i="16" s="1"/>
  <c r="S35" i="16" s="1"/>
  <c r="S47" i="17"/>
  <c r="T14" i="16"/>
  <c r="T19" i="16" s="1"/>
  <c r="R45" i="17"/>
  <c r="R46" i="17" s="1"/>
  <c r="O24" i="17"/>
  <c r="X2" i="17"/>
  <c r="W10" i="17"/>
  <c r="W9" i="17"/>
  <c r="T14" i="17"/>
  <c r="T18" i="17" s="1"/>
  <c r="U8" i="17"/>
  <c r="U8" i="16"/>
  <c r="U31" i="16" s="1"/>
  <c r="T32" i="16"/>
  <c r="N26" i="16"/>
  <c r="N25" i="16"/>
  <c r="O22" i="16"/>
  <c r="O23" i="16" s="1"/>
  <c r="X11" i="19" l="1"/>
  <c r="Y9" i="19"/>
  <c r="Y18" i="19" s="1"/>
  <c r="Z2" i="19"/>
  <c r="Y10" i="19"/>
  <c r="O34" i="19" a="1"/>
  <c r="O34" i="19" s="1"/>
  <c r="O36" i="19" s="1"/>
  <c r="O37" i="19" s="1"/>
  <c r="P33" i="19"/>
  <c r="O24" i="19"/>
  <c r="P23" i="19"/>
  <c r="X45" i="19"/>
  <c r="X46" i="19" s="1"/>
  <c r="Y38" i="19"/>
  <c r="Y42" i="19"/>
  <c r="Y43" i="19" s="1"/>
  <c r="Y47" i="19" s="1"/>
  <c r="Z8" i="19"/>
  <c r="Z14" i="19" s="1"/>
  <c r="Y19" i="19"/>
  <c r="N28" i="19"/>
  <c r="N26" i="19"/>
  <c r="N27" i="19" s="1"/>
  <c r="T38" i="17"/>
  <c r="O26" i="17"/>
  <c r="O27" i="17" s="1"/>
  <c r="O28" i="17"/>
  <c r="Q33" i="17"/>
  <c r="P34" i="17" a="1"/>
  <c r="P34" i="17" s="1"/>
  <c r="R23" i="17"/>
  <c r="T45" i="17"/>
  <c r="T46" i="17" s="1"/>
  <c r="U42" i="17"/>
  <c r="U43" i="17" s="1"/>
  <c r="U44" i="17" s="1"/>
  <c r="T36" i="16"/>
  <c r="W11" i="17"/>
  <c r="U14" i="16"/>
  <c r="U18" i="16" s="1"/>
  <c r="T18" i="16"/>
  <c r="T34" i="16" s="1"/>
  <c r="T35" i="16" s="1"/>
  <c r="T47" i="17"/>
  <c r="T19" i="17"/>
  <c r="Y2" i="17"/>
  <c r="X10" i="17"/>
  <c r="X9" i="17"/>
  <c r="U14" i="17"/>
  <c r="U18" i="17" s="1"/>
  <c r="V8" i="17"/>
  <c r="P24" i="17"/>
  <c r="V8" i="16"/>
  <c r="V31" i="16" s="1"/>
  <c r="U32" i="16"/>
  <c r="U33" i="16" s="1"/>
  <c r="O26" i="16"/>
  <c r="O25" i="16"/>
  <c r="N27" i="16"/>
  <c r="O27" i="16"/>
  <c r="P22" i="16"/>
  <c r="P23" i="16" s="1"/>
  <c r="Y11" i="19" l="1"/>
  <c r="Y45" i="19"/>
  <c r="Y46" i="19" s="1"/>
  <c r="P34" i="19" a="1"/>
  <c r="P34" i="19" s="1"/>
  <c r="Q33" i="19"/>
  <c r="P24" i="19"/>
  <c r="Q23" i="19"/>
  <c r="AA2" i="19"/>
  <c r="Z9" i="19"/>
  <c r="Z18" i="19" s="1"/>
  <c r="Z10" i="19"/>
  <c r="O28" i="19"/>
  <c r="O26" i="19"/>
  <c r="O27" i="19" s="1"/>
  <c r="Z19" i="19"/>
  <c r="Z38" i="19"/>
  <c r="Z39" i="19" s="1"/>
  <c r="D64" i="14" s="1" a="1"/>
  <c r="D64" i="14" s="1"/>
  <c r="Z42" i="19"/>
  <c r="Z43" i="19" s="1"/>
  <c r="Z44" i="19" s="1"/>
  <c r="E63" i="14" s="1" a="1"/>
  <c r="E63" i="14" s="1"/>
  <c r="AA8" i="19"/>
  <c r="AA14" i="19" s="1"/>
  <c r="P36" i="17"/>
  <c r="P37" i="17" s="1"/>
  <c r="P35" i="17"/>
  <c r="U38" i="17"/>
  <c r="U39" i="17" s="1"/>
  <c r="P26" i="17"/>
  <c r="P27" i="17" s="1"/>
  <c r="P28" i="17"/>
  <c r="P29" i="17" s="1"/>
  <c r="Q34" i="17" a="1"/>
  <c r="Q34" i="17" s="1"/>
  <c r="Q36" i="17" s="1"/>
  <c r="Q37" i="17" s="1"/>
  <c r="R33" i="17"/>
  <c r="R34" i="17" s="1" a="1"/>
  <c r="R34" i="17" s="1"/>
  <c r="R36" i="17" s="1"/>
  <c r="R37" i="17" s="1"/>
  <c r="S23" i="17"/>
  <c r="V42" i="17"/>
  <c r="V43" i="17" s="1"/>
  <c r="U19" i="16"/>
  <c r="X11" i="17"/>
  <c r="V14" i="16"/>
  <c r="V18" i="16" s="1"/>
  <c r="U47" i="17"/>
  <c r="W8" i="17"/>
  <c r="V14" i="17"/>
  <c r="V18" i="17" s="1"/>
  <c r="Q24" i="17"/>
  <c r="P25" i="17"/>
  <c r="U19" i="17"/>
  <c r="Y9" i="17"/>
  <c r="Y10" i="17"/>
  <c r="Z2" i="17"/>
  <c r="U36" i="16"/>
  <c r="U34" i="16"/>
  <c r="U35" i="16" s="1"/>
  <c r="W8" i="16"/>
  <c r="W31" i="16" s="1"/>
  <c r="V32" i="16"/>
  <c r="P26" i="16"/>
  <c r="P25" i="16"/>
  <c r="P24" i="16"/>
  <c r="Q22" i="16"/>
  <c r="Q23" i="16" s="1"/>
  <c r="Z11" i="19" l="1"/>
  <c r="Z45" i="19"/>
  <c r="Z46" i="19" s="1"/>
  <c r="P28" i="19"/>
  <c r="P29" i="19" s="1"/>
  <c r="P26" i="19"/>
  <c r="P27" i="19" s="1"/>
  <c r="P25" i="19"/>
  <c r="AA19" i="19"/>
  <c r="AA38" i="19"/>
  <c r="AA42" i="19"/>
  <c r="AA43" i="19" s="1"/>
  <c r="AA47" i="19" s="1"/>
  <c r="AB8" i="19"/>
  <c r="AB14" i="19" s="1"/>
  <c r="Q34" i="19" a="1"/>
  <c r="Q34" i="19" s="1"/>
  <c r="Q36" i="19" s="1"/>
  <c r="Q37" i="19" s="1"/>
  <c r="R33" i="19"/>
  <c r="P35" i="19"/>
  <c r="P36" i="19"/>
  <c r="P37" i="19" s="1"/>
  <c r="Z47" i="19"/>
  <c r="AA9" i="19"/>
  <c r="AA18" i="19" s="1"/>
  <c r="AA10" i="19"/>
  <c r="AA11" i="19" s="1"/>
  <c r="AB2" i="19"/>
  <c r="Q24" i="19"/>
  <c r="R23" i="19"/>
  <c r="V38" i="17"/>
  <c r="Q26" i="17"/>
  <c r="Q27" i="17" s="1"/>
  <c r="Q28" i="17"/>
  <c r="S33" i="17"/>
  <c r="S34" i="17" s="1" a="1"/>
  <c r="S34" i="17" s="1"/>
  <c r="S36" i="17" s="1"/>
  <c r="S37" i="17" s="1"/>
  <c r="T23" i="17"/>
  <c r="W42" i="17"/>
  <c r="W43" i="17" s="1"/>
  <c r="Y11" i="17"/>
  <c r="V19" i="16"/>
  <c r="U48" i="17"/>
  <c r="V34" i="16"/>
  <c r="V35" i="16" s="1"/>
  <c r="W14" i="16"/>
  <c r="W19" i="16" s="1"/>
  <c r="V19" i="17"/>
  <c r="V47" i="17"/>
  <c r="V45" i="17"/>
  <c r="V46" i="17" s="1"/>
  <c r="X8" i="17"/>
  <c r="W14" i="17"/>
  <c r="W18" i="17" s="1"/>
  <c r="U45" i="17"/>
  <c r="U46" i="17" s="1"/>
  <c r="Z10" i="17"/>
  <c r="Z9" i="17"/>
  <c r="AA2" i="17"/>
  <c r="R24" i="17"/>
  <c r="U37" i="16"/>
  <c r="V36" i="16"/>
  <c r="X8" i="16"/>
  <c r="X31" i="16" s="1"/>
  <c r="W32" i="16"/>
  <c r="Q26" i="16"/>
  <c r="Q25" i="16"/>
  <c r="P27" i="16"/>
  <c r="P28" i="16" s="1"/>
  <c r="Q27" i="16"/>
  <c r="R22" i="16"/>
  <c r="R23" i="16" s="1"/>
  <c r="Z48" i="19" l="1"/>
  <c r="E64" i="14" s="1" a="1"/>
  <c r="E64" i="14" s="1"/>
  <c r="Q28" i="19"/>
  <c r="Q26" i="19"/>
  <c r="Q27" i="19" s="1"/>
  <c r="AB9" i="19"/>
  <c r="AB18" i="19" s="1"/>
  <c r="AB10" i="19"/>
  <c r="AC2" i="19"/>
  <c r="AB38" i="19"/>
  <c r="AB19" i="19"/>
  <c r="AB42" i="19"/>
  <c r="AB43" i="19" s="1"/>
  <c r="AB47" i="19" s="1"/>
  <c r="AC8" i="19"/>
  <c r="AC14" i="19" s="1"/>
  <c r="AA45" i="19"/>
  <c r="AA46" i="19" s="1"/>
  <c r="R24" i="19"/>
  <c r="S23" i="19"/>
  <c r="R34" i="19" a="1"/>
  <c r="R34" i="19" s="1"/>
  <c r="R36" i="19" s="1"/>
  <c r="R37" i="19" s="1"/>
  <c r="S33" i="19"/>
  <c r="W38" i="17"/>
  <c r="R26" i="17"/>
  <c r="R27" i="17" s="1"/>
  <c r="R28" i="17"/>
  <c r="T33" i="17"/>
  <c r="T34" i="17" s="1" a="1"/>
  <c r="T34" i="17" s="1"/>
  <c r="U23" i="17"/>
  <c r="X42" i="17"/>
  <c r="X43" i="17" s="1"/>
  <c r="Z11" i="17"/>
  <c r="W36" i="16"/>
  <c r="W18" i="16"/>
  <c r="W34" i="16" s="1"/>
  <c r="W35" i="16" s="1"/>
  <c r="W47" i="17"/>
  <c r="S24" i="17"/>
  <c r="Y8" i="17"/>
  <c r="X14" i="17"/>
  <c r="X18" i="17" s="1"/>
  <c r="AA10" i="17"/>
  <c r="AA9" i="17"/>
  <c r="AB2" i="17"/>
  <c r="W19" i="17"/>
  <c r="X14" i="16"/>
  <c r="Y8" i="16"/>
  <c r="Y31" i="16" s="1"/>
  <c r="X32" i="16"/>
  <c r="R26" i="16"/>
  <c r="R25" i="16"/>
  <c r="R27" i="16"/>
  <c r="S22" i="16"/>
  <c r="S23" i="16" s="1"/>
  <c r="AB11" i="19" l="1"/>
  <c r="AA11" i="17"/>
  <c r="AB45" i="19"/>
  <c r="AB46" i="19" s="1"/>
  <c r="S24" i="19"/>
  <c r="T23" i="19"/>
  <c r="AC38" i="19"/>
  <c r="AC19" i="19"/>
  <c r="AC42" i="19"/>
  <c r="AC43" i="19" s="1"/>
  <c r="AC47" i="19" s="1"/>
  <c r="AD8" i="19"/>
  <c r="AD14" i="19" s="1"/>
  <c r="S34" i="19" a="1"/>
  <c r="S34" i="19" s="1"/>
  <c r="S36" i="19" s="1"/>
  <c r="S37" i="19" s="1"/>
  <c r="T33" i="19"/>
  <c r="AC10" i="19"/>
  <c r="AD2" i="19"/>
  <c r="AC9" i="19"/>
  <c r="AC18" i="19" s="1"/>
  <c r="R28" i="19"/>
  <c r="R26" i="19"/>
  <c r="R27" i="19" s="1"/>
  <c r="T36" i="17"/>
  <c r="T37" i="17" s="1"/>
  <c r="X38" i="17"/>
  <c r="S26" i="17"/>
  <c r="S27" i="17" s="1"/>
  <c r="S28" i="17"/>
  <c r="U33" i="17"/>
  <c r="U34" i="17" s="1" a="1"/>
  <c r="U34" i="17" s="1"/>
  <c r="V23" i="17"/>
  <c r="Y42" i="17"/>
  <c r="Y43" i="17" s="1"/>
  <c r="Y14" i="16"/>
  <c r="Y19" i="16" s="1"/>
  <c r="Y32" i="16"/>
  <c r="X19" i="17"/>
  <c r="X47" i="17"/>
  <c r="X45" i="17"/>
  <c r="X46" i="17" s="1"/>
  <c r="T24" i="17"/>
  <c r="AB9" i="17"/>
  <c r="AC2" i="17"/>
  <c r="AB10" i="17"/>
  <c r="AB11" i="17" s="1"/>
  <c r="Y14" i="17"/>
  <c r="Y19" i="17" s="1"/>
  <c r="Z8" i="17"/>
  <c r="W45" i="17"/>
  <c r="W46" i="17" s="1"/>
  <c r="X36" i="16"/>
  <c r="X19" i="16"/>
  <c r="X18" i="16"/>
  <c r="X34" i="16" s="1"/>
  <c r="X35" i="16" s="1"/>
  <c r="Z8" i="16"/>
  <c r="Z31" i="16" s="1"/>
  <c r="S26" i="16"/>
  <c r="S25" i="16"/>
  <c r="T22" i="16"/>
  <c r="T23" i="16" s="1"/>
  <c r="AC11" i="19" l="1"/>
  <c r="AC45" i="19"/>
  <c r="AC46" i="19" s="1"/>
  <c r="T24" i="19"/>
  <c r="U23" i="19"/>
  <c r="S28" i="19"/>
  <c r="S26" i="19"/>
  <c r="S27" i="19" s="1"/>
  <c r="AD10" i="19"/>
  <c r="AD11" i="19" s="1"/>
  <c r="AE2" i="19"/>
  <c r="AD9" i="19"/>
  <c r="AD18" i="19" s="1"/>
  <c r="AD42" i="19"/>
  <c r="AD43" i="19" s="1"/>
  <c r="AD47" i="19" s="1"/>
  <c r="AD38" i="19"/>
  <c r="AD19" i="19"/>
  <c r="AE8" i="19"/>
  <c r="AE14" i="19" s="1"/>
  <c r="T34" i="19" a="1"/>
  <c r="T34" i="19" s="1"/>
  <c r="T36" i="19" s="1"/>
  <c r="T37" i="19" s="1"/>
  <c r="U33" i="19"/>
  <c r="U36" i="17"/>
  <c r="U37" i="17" s="1"/>
  <c r="Y38" i="17"/>
  <c r="T26" i="17"/>
  <c r="T27" i="17" s="1"/>
  <c r="T28" i="17"/>
  <c r="V33" i="17"/>
  <c r="V34" i="17" s="1" a="1"/>
  <c r="V34" i="17" s="1"/>
  <c r="V36" i="17" s="1"/>
  <c r="V37" i="17" s="1"/>
  <c r="W23" i="17"/>
  <c r="Y18" i="17"/>
  <c r="Z42" i="17"/>
  <c r="Z43" i="17" s="1"/>
  <c r="Z44" i="17" s="1"/>
  <c r="E51" i="14" s="1" a="1"/>
  <c r="E51" i="14" s="1"/>
  <c r="Y18" i="16"/>
  <c r="Y34" i="16" s="1"/>
  <c r="Y35" i="16" s="1"/>
  <c r="Y36" i="16"/>
  <c r="Z14" i="16"/>
  <c r="Z19" i="16" s="1"/>
  <c r="Y47" i="17"/>
  <c r="U24" i="17"/>
  <c r="AC9" i="17"/>
  <c r="AD2" i="17"/>
  <c r="AC10" i="17"/>
  <c r="Z14" i="17"/>
  <c r="Z19" i="17" s="1"/>
  <c r="AA8" i="17"/>
  <c r="AA8" i="16"/>
  <c r="AA31" i="16" s="1"/>
  <c r="Z32" i="16"/>
  <c r="Z33" i="16" s="1"/>
  <c r="E42" i="14" s="1" a="1"/>
  <c r="E42" i="14" s="1"/>
  <c r="T26" i="16"/>
  <c r="T25" i="16"/>
  <c r="S27" i="16"/>
  <c r="T27" i="16"/>
  <c r="U22" i="16"/>
  <c r="U23" i="16" s="1"/>
  <c r="AC11" i="17" l="1"/>
  <c r="AD45" i="19"/>
  <c r="AD46" i="19" s="1"/>
  <c r="U34" i="19" a="1"/>
  <c r="U34" i="19" s="1"/>
  <c r="U36" i="19" s="1"/>
  <c r="U37" i="19" s="1"/>
  <c r="V33" i="19"/>
  <c r="U24" i="19"/>
  <c r="V23" i="19"/>
  <c r="T28" i="19"/>
  <c r="T26" i="19"/>
  <c r="T27" i="19" s="1"/>
  <c r="AE42" i="19"/>
  <c r="AE43" i="19" s="1"/>
  <c r="AE44" i="19" s="1"/>
  <c r="AE38" i="19"/>
  <c r="AE39" i="19" s="1"/>
  <c r="AE19" i="19"/>
  <c r="AE10" i="19"/>
  <c r="AE9" i="19"/>
  <c r="AE18" i="19" s="1"/>
  <c r="Z38" i="17"/>
  <c r="Z39" i="17" s="1"/>
  <c r="D52" i="14" s="1" a="1"/>
  <c r="D52" i="14" s="1"/>
  <c r="U26" i="17"/>
  <c r="U27" i="17" s="1"/>
  <c r="U28" i="17"/>
  <c r="U29" i="17" s="1"/>
  <c r="W33" i="17"/>
  <c r="W34" i="17" s="1" a="1"/>
  <c r="W34" i="17" s="1"/>
  <c r="W36" i="17" s="1"/>
  <c r="W37" i="17" s="1"/>
  <c r="Y45" i="17"/>
  <c r="Y46" i="17" s="1"/>
  <c r="X23" i="17"/>
  <c r="Z18" i="17"/>
  <c r="AA42" i="17"/>
  <c r="AA43" i="17" s="1"/>
  <c r="AA14" i="16"/>
  <c r="AA19" i="16" s="1"/>
  <c r="Z18" i="16"/>
  <c r="Z34" i="16" s="1"/>
  <c r="Z35" i="16" s="1"/>
  <c r="Z47" i="17"/>
  <c r="AA14" i="17"/>
  <c r="AA19" i="17" s="1"/>
  <c r="AB8" i="17"/>
  <c r="AE2" i="17"/>
  <c r="AD10" i="17"/>
  <c r="AD9" i="17"/>
  <c r="U25" i="17"/>
  <c r="V24" i="17"/>
  <c r="Z36" i="16"/>
  <c r="E43" i="14" s="1" a="1"/>
  <c r="E43" i="14" s="1"/>
  <c r="AB8" i="16"/>
  <c r="AB31" i="16" s="1"/>
  <c r="AA32" i="16"/>
  <c r="U26" i="16"/>
  <c r="U25" i="16"/>
  <c r="U24" i="16"/>
  <c r="V22" i="16"/>
  <c r="V23" i="16" s="1"/>
  <c r="AD11" i="17" l="1"/>
  <c r="AE11" i="19"/>
  <c r="AE45" i="19"/>
  <c r="AE46" i="19" s="1"/>
  <c r="V24" i="19"/>
  <c r="W23" i="19"/>
  <c r="U25" i="19"/>
  <c r="U28" i="19"/>
  <c r="U29" i="19" s="1"/>
  <c r="U26" i="19"/>
  <c r="U27" i="19" s="1"/>
  <c r="AE47" i="19"/>
  <c r="AE48" i="19" s="1"/>
  <c r="V34" i="19" a="1"/>
  <c r="V34" i="19" s="1"/>
  <c r="V36" i="19" s="1"/>
  <c r="V37" i="19" s="1"/>
  <c r="W33" i="19"/>
  <c r="AA38" i="17"/>
  <c r="V26" i="17"/>
  <c r="V27" i="17" s="1"/>
  <c r="V28" i="17"/>
  <c r="X33" i="17"/>
  <c r="X34" i="17" s="1" a="1"/>
  <c r="X34" i="17" s="1"/>
  <c r="X36" i="17" s="1"/>
  <c r="X37" i="17" s="1"/>
  <c r="Y23" i="17"/>
  <c r="AA18" i="17"/>
  <c r="AB42" i="17"/>
  <c r="AB43" i="17" s="1"/>
  <c r="AA18" i="16"/>
  <c r="AA34" i="16" s="1"/>
  <c r="AA35" i="16" s="1"/>
  <c r="AA36" i="16"/>
  <c r="Z37" i="16"/>
  <c r="Z48" i="17"/>
  <c r="E52" i="14" s="1" a="1"/>
  <c r="E52" i="14" s="1"/>
  <c r="AB14" i="16"/>
  <c r="AB19" i="16" s="1"/>
  <c r="AB32" i="16"/>
  <c r="Z45" i="17"/>
  <c r="Z46" i="17" s="1"/>
  <c r="AA47" i="17"/>
  <c r="W24" i="17"/>
  <c r="AE10" i="17"/>
  <c r="AE9" i="17"/>
  <c r="AB14" i="17"/>
  <c r="AB18" i="17" s="1"/>
  <c r="AC8" i="17"/>
  <c r="AC8" i="16"/>
  <c r="AC31" i="16" s="1"/>
  <c r="V26" i="16"/>
  <c r="V25" i="16"/>
  <c r="U27" i="16"/>
  <c r="V27" i="16"/>
  <c r="W22" i="16"/>
  <c r="W23" i="16" s="1"/>
  <c r="E61" i="14" l="1" a="1"/>
  <c r="E61" i="14" s="1"/>
  <c r="E62" i="14" s="1"/>
  <c r="E65" i="14" s="1"/>
  <c r="AE11" i="17"/>
  <c r="W24" i="19"/>
  <c r="X23" i="19"/>
  <c r="V28" i="19"/>
  <c r="V26" i="19"/>
  <c r="V27" i="19" s="1"/>
  <c r="W34" i="19" a="1"/>
  <c r="W34" i="19" s="1"/>
  <c r="W36" i="19" s="1"/>
  <c r="W37" i="19" s="1"/>
  <c r="X33" i="19"/>
  <c r="AB38" i="17"/>
  <c r="W26" i="17"/>
  <c r="W27" i="17" s="1"/>
  <c r="W28" i="17"/>
  <c r="Y33" i="17"/>
  <c r="Y34" i="17" s="1" a="1"/>
  <c r="Y34" i="17" s="1"/>
  <c r="Y36" i="17" s="1"/>
  <c r="Y37" i="17" s="1"/>
  <c r="Z23" i="17"/>
  <c r="AC42" i="17"/>
  <c r="AC43" i="17" s="1"/>
  <c r="AC14" i="16"/>
  <c r="AC19" i="16" s="1"/>
  <c r="AB18" i="16"/>
  <c r="AB34" i="16" s="1"/>
  <c r="AB35" i="16" s="1"/>
  <c r="AB36" i="16"/>
  <c r="AA45" i="17"/>
  <c r="AA46" i="17" s="1"/>
  <c r="AB47" i="17"/>
  <c r="AC14" i="17"/>
  <c r="AC19" i="17" s="1"/>
  <c r="AD8" i="17"/>
  <c r="AB19" i="17"/>
  <c r="X24" i="17"/>
  <c r="U28" i="16"/>
  <c r="AD8" i="16"/>
  <c r="AD31" i="16" s="1"/>
  <c r="AC32" i="16"/>
  <c r="W26" i="16"/>
  <c r="W25" i="16"/>
  <c r="W27" i="16"/>
  <c r="X22" i="16"/>
  <c r="X23" i="16" s="1"/>
  <c r="AD14" i="16" l="1"/>
  <c r="X34" i="19" a="1"/>
  <c r="X34" i="19" s="1"/>
  <c r="X36" i="19" s="1"/>
  <c r="X37" i="19" s="1"/>
  <c r="Y33" i="19"/>
  <c r="X24" i="19"/>
  <c r="Y23" i="19"/>
  <c r="W28" i="19"/>
  <c r="W26" i="19"/>
  <c r="W27" i="19" s="1"/>
  <c r="AC38" i="17"/>
  <c r="X26" i="17"/>
  <c r="X27" i="17" s="1"/>
  <c r="X28" i="17"/>
  <c r="Z33" i="17"/>
  <c r="Z34" i="17" s="1" a="1"/>
  <c r="Z34" i="17" s="1"/>
  <c r="AA23" i="17"/>
  <c r="AC18" i="17"/>
  <c r="AD42" i="17"/>
  <c r="AD43" i="17" s="1"/>
  <c r="AC18" i="16"/>
  <c r="AC34" i="16" s="1"/>
  <c r="AC35" i="16" s="1"/>
  <c r="AC36" i="16"/>
  <c r="AC47" i="17"/>
  <c r="Y24" i="17"/>
  <c r="AE8" i="17"/>
  <c r="AD14" i="17"/>
  <c r="AD18" i="17" s="1"/>
  <c r="AB45" i="17"/>
  <c r="AB46" i="17" s="1"/>
  <c r="AE8" i="16"/>
  <c r="AE31" i="16" s="1"/>
  <c r="AD32" i="16"/>
  <c r="AD36" i="16" s="1"/>
  <c r="X26" i="16"/>
  <c r="X25" i="16"/>
  <c r="AD19" i="16"/>
  <c r="AD18" i="16"/>
  <c r="X27" i="16"/>
  <c r="Y22" i="16"/>
  <c r="Y23" i="16" s="1"/>
  <c r="Y24" i="19" l="1"/>
  <c r="Z23" i="19"/>
  <c r="X28" i="19"/>
  <c r="X26" i="19"/>
  <c r="X27" i="19" s="1"/>
  <c r="Y34" i="19" a="1"/>
  <c r="Y34" i="19" s="1"/>
  <c r="Y36" i="19" s="1"/>
  <c r="Y37" i="19" s="1"/>
  <c r="Z33" i="19"/>
  <c r="Z36" i="17"/>
  <c r="Z37" i="17" s="1"/>
  <c r="Z35" i="17"/>
  <c r="D51" i="14" s="1" a="1"/>
  <c r="D51" i="14" s="1"/>
  <c r="AD38" i="17"/>
  <c r="Y26" i="17"/>
  <c r="Y27" i="17" s="1"/>
  <c r="Y28" i="17"/>
  <c r="AA33" i="17"/>
  <c r="AA34" i="17" s="1" a="1"/>
  <c r="AA34" i="17" s="1"/>
  <c r="AA36" i="17" s="1"/>
  <c r="AA37" i="17" s="1"/>
  <c r="AC45" i="17"/>
  <c r="AC46" i="17" s="1"/>
  <c r="AB23" i="17"/>
  <c r="AE42" i="17"/>
  <c r="AE43" i="17" s="1"/>
  <c r="AE44" i="17" s="1"/>
  <c r="AE14" i="16"/>
  <c r="AE19" i="16" s="1"/>
  <c r="AD45" i="17"/>
  <c r="AD46" i="17" s="1"/>
  <c r="AD19" i="17"/>
  <c r="AD47" i="17"/>
  <c r="AE14" i="17"/>
  <c r="AE19" i="17" s="1"/>
  <c r="Z24" i="17"/>
  <c r="AA24" i="17"/>
  <c r="AD34" i="16"/>
  <c r="AD35" i="16" s="1"/>
  <c r="AE32" i="16"/>
  <c r="Y26" i="16"/>
  <c r="Y25" i="16"/>
  <c r="Y27" i="16"/>
  <c r="Z22" i="16"/>
  <c r="Z23" i="16" s="1"/>
  <c r="Z34" i="19" l="1" a="1"/>
  <c r="Z34" i="19" s="1"/>
  <c r="AA33" i="19"/>
  <c r="Z24" i="19"/>
  <c r="AA23" i="19"/>
  <c r="Y28" i="19"/>
  <c r="Y26" i="19"/>
  <c r="Y27" i="19" s="1"/>
  <c r="AE38" i="17"/>
  <c r="AE39" i="17" s="1"/>
  <c r="Z26" i="17"/>
  <c r="Z27" i="17" s="1"/>
  <c r="Z28" i="17"/>
  <c r="AA26" i="17"/>
  <c r="AA27" i="17" s="1"/>
  <c r="AA28" i="17"/>
  <c r="AB33" i="17"/>
  <c r="AB34" i="17" s="1" a="1"/>
  <c r="AB34" i="17" s="1"/>
  <c r="AB36" i="17" s="1"/>
  <c r="AB37" i="17" s="1"/>
  <c r="AC23" i="17"/>
  <c r="AE18" i="17"/>
  <c r="AE36" i="16"/>
  <c r="AE37" i="16" s="1"/>
  <c r="AE18" i="16"/>
  <c r="AE34" i="16" s="1"/>
  <c r="AE35" i="16" s="1"/>
  <c r="AE47" i="17"/>
  <c r="AE48" i="17" s="1"/>
  <c r="Z25" i="17"/>
  <c r="C51" i="14" s="1" a="1"/>
  <c r="C51" i="14" s="1"/>
  <c r="AE33" i="16"/>
  <c r="Z26" i="16"/>
  <c r="Z25" i="16"/>
  <c r="Z24" i="16"/>
  <c r="Z27" i="16"/>
  <c r="AA22" i="16"/>
  <c r="AA23" i="16" s="1"/>
  <c r="E40" i="14" l="1" a="1"/>
  <c r="E40" i="14" s="1"/>
  <c r="E41" i="14" s="1"/>
  <c r="E44" i="14" s="1"/>
  <c r="AA24" i="19"/>
  <c r="AB23" i="19"/>
  <c r="Z25" i="19"/>
  <c r="C63" i="14" s="1" a="1"/>
  <c r="C63" i="14" s="1"/>
  <c r="Z28" i="19"/>
  <c r="Z29" i="19" s="1"/>
  <c r="C64" i="14" s="1" a="1"/>
  <c r="C64" i="14" s="1"/>
  <c r="Z26" i="19"/>
  <c r="Z27" i="19" s="1"/>
  <c r="AA34" i="19" a="1"/>
  <c r="AA34" i="19" s="1"/>
  <c r="AA36" i="19" s="1"/>
  <c r="AA37" i="19" s="1"/>
  <c r="AB33" i="19"/>
  <c r="Z35" i="19"/>
  <c r="D63" i="14" s="1" a="1"/>
  <c r="D63" i="14" s="1"/>
  <c r="Z36" i="19"/>
  <c r="Z37" i="19" s="1"/>
  <c r="AC33" i="17"/>
  <c r="AC34" i="17" s="1" a="1"/>
  <c r="AC34" i="17" s="1"/>
  <c r="AC36" i="17" s="1"/>
  <c r="AC37" i="17" s="1"/>
  <c r="AD23" i="17"/>
  <c r="Z29" i="17"/>
  <c r="C52" i="14" s="1" a="1"/>
  <c r="C52" i="14" s="1"/>
  <c r="AE45" i="17"/>
  <c r="AE46" i="17" s="1"/>
  <c r="AB24" i="17"/>
  <c r="Z28" i="16"/>
  <c r="AA26" i="16"/>
  <c r="AA25" i="16"/>
  <c r="AB22" i="16"/>
  <c r="AB23" i="16" s="1"/>
  <c r="E49" i="14" l="1" a="1"/>
  <c r="E49" i="14" s="1"/>
  <c r="E50" i="14" s="1"/>
  <c r="E53" i="14" s="1"/>
  <c r="AB34" i="19" a="1"/>
  <c r="AB34" i="19" s="1"/>
  <c r="AB36" i="19" s="1"/>
  <c r="AB37" i="19" s="1"/>
  <c r="AC33" i="19"/>
  <c r="AB24" i="19"/>
  <c r="AC23" i="19"/>
  <c r="AA28" i="19"/>
  <c r="AA26" i="19"/>
  <c r="AA27" i="19" s="1"/>
  <c r="AB26" i="17"/>
  <c r="AB27" i="17" s="1"/>
  <c r="AB28" i="17"/>
  <c r="AD33" i="17"/>
  <c r="AD34" i="17" s="1" a="1"/>
  <c r="AD34" i="17" s="1"/>
  <c r="AD36" i="17" s="1"/>
  <c r="AD37" i="17" s="1"/>
  <c r="AE23" i="17"/>
  <c r="AC24" i="17"/>
  <c r="AB26" i="16"/>
  <c r="AB25" i="16"/>
  <c r="AA27" i="16"/>
  <c r="AC22" i="16"/>
  <c r="AC23" i="16" s="1"/>
  <c r="AC24" i="19" l="1"/>
  <c r="AD23" i="19"/>
  <c r="AB28" i="19"/>
  <c r="AB26" i="19"/>
  <c r="AB27" i="19" s="1"/>
  <c r="AC34" i="19" a="1"/>
  <c r="AC34" i="19" s="1"/>
  <c r="AC36" i="19" s="1"/>
  <c r="AC37" i="19" s="1"/>
  <c r="AD33" i="19"/>
  <c r="AC26" i="17"/>
  <c r="AC27" i="17" s="1"/>
  <c r="AC28" i="17"/>
  <c r="AE33" i="17"/>
  <c r="AE34" i="17" s="1" a="1"/>
  <c r="AE34" i="17" s="1"/>
  <c r="AE24" i="17"/>
  <c r="AD24" i="17"/>
  <c r="AC26" i="16"/>
  <c r="AC25" i="16"/>
  <c r="AD22" i="16"/>
  <c r="AD23" i="16" s="1"/>
  <c r="AB27" i="16"/>
  <c r="AD34" i="19" l="1" a="1"/>
  <c r="AD34" i="19" s="1"/>
  <c r="AD36" i="19" s="1"/>
  <c r="AD37" i="19" s="1"/>
  <c r="AE33" i="19"/>
  <c r="AE34" i="19" s="1" a="1"/>
  <c r="AE34" i="19" s="1"/>
  <c r="AD24" i="19"/>
  <c r="AE23" i="19"/>
  <c r="AE24" i="19" s="1"/>
  <c r="AC28" i="19"/>
  <c r="AC26" i="19"/>
  <c r="AC27" i="19" s="1"/>
  <c r="AE36" i="17"/>
  <c r="AE37" i="17" s="1"/>
  <c r="D49" i="14" s="1" a="1"/>
  <c r="D49" i="14" s="1"/>
  <c r="AE35" i="17"/>
  <c r="AD26" i="17"/>
  <c r="AD27" i="17" s="1"/>
  <c r="AD28" i="17"/>
  <c r="AE26" i="17"/>
  <c r="AE27" i="17" s="1"/>
  <c r="AE28" i="17"/>
  <c r="AE25" i="17"/>
  <c r="AD26" i="16"/>
  <c r="AD25" i="16"/>
  <c r="AE22" i="16"/>
  <c r="AE23" i="16" s="1"/>
  <c r="AC27" i="16"/>
  <c r="C49" i="14" l="1" a="1"/>
  <c r="C49" i="14" s="1"/>
  <c r="C50" i="14" s="1"/>
  <c r="C53" i="14" s="1"/>
  <c r="D50" i="14"/>
  <c r="D53" i="14" s="1"/>
  <c r="AE25" i="19"/>
  <c r="AE28" i="19"/>
  <c r="AE26" i="19"/>
  <c r="AE27" i="19" s="1"/>
  <c r="AD28" i="19"/>
  <c r="AD26" i="19"/>
  <c r="AD27" i="19" s="1"/>
  <c r="AE35" i="19"/>
  <c r="AE36" i="19"/>
  <c r="AE37" i="19" s="1"/>
  <c r="D61" i="14" s="1" a="1"/>
  <c r="D61" i="14" s="1"/>
  <c r="AE29" i="17"/>
  <c r="E46" i="14" s="1"/>
  <c r="AE26" i="16"/>
  <c r="C40" i="14" s="1" a="1"/>
  <c r="C40" i="14" s="1"/>
  <c r="AE25" i="16"/>
  <c r="AE24" i="16"/>
  <c r="C42" i="14" s="1" a="1"/>
  <c r="C42" i="14" s="1"/>
  <c r="D42" i="14" s="1"/>
  <c r="AD27" i="16"/>
  <c r="C61" i="14" l="1" a="1"/>
  <c r="C61" i="14" s="1"/>
  <c r="C62" i="14" s="1"/>
  <c r="C65" i="14" s="1"/>
  <c r="D62" i="14"/>
  <c r="D65" i="14" s="1"/>
  <c r="C41" i="14"/>
  <c r="C44" i="14" s="1"/>
  <c r="AE29" i="19"/>
  <c r="E55" i="14" s="1"/>
  <c r="AE27" i="16"/>
  <c r="AE28" i="16" l="1"/>
  <c r="C43" i="14" a="1"/>
  <c r="C43" i="14" s="1"/>
  <c r="D43" i="14" s="1"/>
  <c r="E37" i="14" s="1"/>
  <c r="D41" i="14"/>
  <c r="D40" i="14"/>
  <c r="D4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<sst xmlns="http://schemas.openxmlformats.org/spreadsheetml/2006/main" count="229" uniqueCount="119">
  <si>
    <t>Calculateur de prêt simple</t>
  </si>
  <si>
    <t>Entrez des valeurs</t>
  </si>
  <si>
    <t>Montant du prêt</t>
  </si>
  <si>
    <t>Taux d’intérêt annuel</t>
  </si>
  <si>
    <t>Durée du prêt en années</t>
  </si>
  <si>
    <t>Date de début du prêt</t>
  </si>
  <si>
    <t>Paiement mensuel</t>
  </si>
  <si>
    <t>Nombre de paiements</t>
  </si>
  <si>
    <t>Total des intérêts</t>
  </si>
  <si>
    <t>Coût total du prêt</t>
  </si>
  <si>
    <t>N°</t>
  </si>
  <si>
    <t>Paiement
Date</t>
  </si>
  <si>
    <t>Début
Solde</t>
  </si>
  <si>
    <t>Paiement</t>
  </si>
  <si>
    <t>Capital</t>
  </si>
  <si>
    <t>Intérêts</t>
  </si>
  <si>
    <t>Fin
Solde</t>
  </si>
  <si>
    <t>Travaux :</t>
  </si>
  <si>
    <t xml:space="preserve">Frais de dossier : </t>
  </si>
  <si>
    <t xml:space="preserve">Total : </t>
  </si>
  <si>
    <t xml:space="preserve">Financement </t>
  </si>
  <si>
    <t>Assurance emprunteur :</t>
  </si>
  <si>
    <t>Capital amortis :</t>
  </si>
  <si>
    <t>Annuités :</t>
  </si>
  <si>
    <t>Intérêts déductible :</t>
  </si>
  <si>
    <t>Garantie locative :</t>
  </si>
  <si>
    <t>Rendement brut :</t>
  </si>
  <si>
    <t>Investissement.</t>
  </si>
  <si>
    <t>Acquisition</t>
  </si>
  <si>
    <t>Frais d'agence :</t>
  </si>
  <si>
    <t>Frais d'acquisition :</t>
  </si>
  <si>
    <t xml:space="preserve">Montant emprunté : </t>
  </si>
  <si>
    <t xml:space="preserve">Frais de garantie : </t>
  </si>
  <si>
    <t>Apport requis :</t>
  </si>
  <si>
    <t>Durée de financement (en années) :</t>
  </si>
  <si>
    <t>Taux d'emprunt :</t>
  </si>
  <si>
    <t>Mensualité de prêt :</t>
  </si>
  <si>
    <t xml:space="preserve"> </t>
  </si>
  <si>
    <t xml:space="preserve">Coût du crédit : </t>
  </si>
  <si>
    <t xml:space="preserve">choix du régime fiscal : </t>
  </si>
  <si>
    <t>Colonne1</t>
  </si>
  <si>
    <t>Colonne3</t>
  </si>
  <si>
    <t>Colonne4</t>
  </si>
  <si>
    <t>Colonne5</t>
  </si>
  <si>
    <t>Colonne6</t>
  </si>
  <si>
    <t>Colonne7</t>
  </si>
  <si>
    <t xml:space="preserve">Emprunteur </t>
  </si>
  <si>
    <t>Flux.</t>
  </si>
  <si>
    <t>Tranche marginale d'imposition (TMI)</t>
  </si>
  <si>
    <t xml:space="preserve">Garantie locative : </t>
  </si>
  <si>
    <t xml:space="preserve">Dépenses de travaux : </t>
  </si>
  <si>
    <t xml:space="preserve">Coût de revient de l'actif immobilier : </t>
  </si>
  <si>
    <t>Solde prêt fin de période</t>
  </si>
  <si>
    <t>Actif net</t>
  </si>
  <si>
    <t>Rendement net d'impôts :</t>
  </si>
  <si>
    <t>Colonne2</t>
  </si>
  <si>
    <t xml:space="preserve">Régime Réel </t>
  </si>
  <si>
    <t xml:space="preserve">Rendement net moyen : </t>
  </si>
  <si>
    <t xml:space="preserve">Location nue </t>
  </si>
  <si>
    <t xml:space="preserve">Location meublée </t>
  </si>
  <si>
    <t>Prix à la nuit :</t>
  </si>
  <si>
    <t>Taux d'occupation :</t>
  </si>
  <si>
    <t>Cash-flow moyen/mensuels</t>
  </si>
  <si>
    <t xml:space="preserve">Cash-flow moyen/mensuels : </t>
  </si>
  <si>
    <t>Micro-foncier</t>
  </si>
  <si>
    <t xml:space="preserve">Impôts  : </t>
  </si>
  <si>
    <t>Impôts.</t>
  </si>
  <si>
    <t xml:space="preserve">Années : </t>
  </si>
  <si>
    <t>Inflation :</t>
  </si>
  <si>
    <t>Recettes brutes  :</t>
  </si>
  <si>
    <t>Actif brut :</t>
  </si>
  <si>
    <t>Assurance PNO :</t>
  </si>
  <si>
    <t>Taxe foncière   :</t>
  </si>
  <si>
    <t>Charges de copropriété  :</t>
  </si>
  <si>
    <t xml:space="preserve">Régime réel : </t>
  </si>
  <si>
    <t>Cash-flow moyen/mensuels :</t>
  </si>
  <si>
    <t>Dont impôts :</t>
  </si>
  <si>
    <t xml:space="preserve">Trésorerie disponible après impôts : </t>
  </si>
  <si>
    <t xml:space="preserve">Trésorerie mensuelle disponible après impôts : </t>
  </si>
  <si>
    <t xml:space="preserve">Total projet (dont apport intial) : </t>
  </si>
  <si>
    <t xml:space="preserve">Impôts : </t>
  </si>
  <si>
    <t xml:space="preserve">Résultat net imposable : </t>
  </si>
  <si>
    <t>Trésorerie mensuelle disponibles après impôts :</t>
  </si>
  <si>
    <t>Rendement net moyen :</t>
  </si>
  <si>
    <t>Micro-BIC</t>
  </si>
  <si>
    <t>Amortissement comptable (80% sur 25 ans)  :</t>
  </si>
  <si>
    <t>Richesse nette :</t>
  </si>
  <si>
    <t xml:space="preserve">Prix d'achat ( hors frais d'agence) : </t>
  </si>
  <si>
    <t>Assurance Propriétaire non occupant/an :</t>
  </si>
  <si>
    <t>Charges annuelles de copropriété  :</t>
  </si>
  <si>
    <t>Taxe foncière annuelle :</t>
  </si>
  <si>
    <t xml:space="preserve">Assurance emprunteur mensuelle : </t>
  </si>
  <si>
    <t>Conciergerie :</t>
  </si>
  <si>
    <t xml:space="preserve">Projet </t>
  </si>
  <si>
    <t>Location courte durée (LCD)</t>
  </si>
  <si>
    <t xml:space="preserve">Recettes annuelles brutes </t>
  </si>
  <si>
    <t>Loyer mensuelle cible (location nue) :</t>
  </si>
  <si>
    <t>Loyer mensuelle cible (location meublée) :</t>
  </si>
  <si>
    <t>Loyer par nuit cible (location courte durée) :</t>
  </si>
  <si>
    <t>Valeur potentielle de votre actif en fin de prêt :</t>
  </si>
  <si>
    <t>choix du régime fiscale en location en nom propre et en SCI</t>
  </si>
  <si>
    <t>SCI à l'IR</t>
  </si>
  <si>
    <t>SCI à l'IS</t>
  </si>
  <si>
    <t>Location.</t>
  </si>
  <si>
    <t>Trésorerie anuelle disponible avant impôts (hors travaux) :</t>
  </si>
  <si>
    <t>Trésorerie annuelle  disponible avant impôt :</t>
  </si>
  <si>
    <r>
      <t>Cash-flow totaux projet (</t>
    </r>
    <r>
      <rPr>
        <u/>
        <sz val="11"/>
        <color theme="1"/>
        <rFont val="Calibri (Corps)"/>
      </rPr>
      <t>dont apport intial</t>
    </r>
    <r>
      <rPr>
        <sz val="11"/>
        <color theme="1"/>
        <rFont val="Calibri"/>
        <family val="2"/>
        <scheme val="minor"/>
      </rPr>
      <t xml:space="preserve">) : </t>
    </r>
  </si>
  <si>
    <r>
      <rPr>
        <sz val="11"/>
        <color theme="1"/>
        <rFont val="Calibri (Corps)"/>
      </rPr>
      <t>Dont</t>
    </r>
    <r>
      <rPr>
        <sz val="11"/>
        <color theme="1"/>
        <rFont val="Calibri"/>
        <family val="2"/>
        <scheme val="minor"/>
      </rPr>
      <t xml:space="preserve"> impôts :</t>
    </r>
  </si>
  <si>
    <t>Frais de comptabilité :</t>
  </si>
  <si>
    <t>Frais de  comptabilité :</t>
  </si>
  <si>
    <t xml:space="preserve">Trésorerie annuelle disponible après impôts : </t>
  </si>
  <si>
    <t xml:space="preserve">trésorerie mensuelle disponible après impôts : </t>
  </si>
  <si>
    <t>Recettes annuelles brutes</t>
  </si>
  <si>
    <t>Frais de conciergerie :</t>
  </si>
  <si>
    <t>Mot de passe pour dévérouiller les feuilles : gustave</t>
  </si>
  <si>
    <t xml:space="preserve">Ce document ne constitue pas un conseil en investissement et vous est fournis à but éducatif. Ce tableau tient compte de la fiscalité en vigueur au 01/01/2023. Les résultats propoposés peuvent varier avec la réalité de votre projet mais tentent à s'en rapprocher au maximum en prenant en considération un maximum de variables. </t>
  </si>
  <si>
    <t xml:space="preserve">Vous devez remplir uniquement les celulles vertes sur la page "Projet". Le détail des résultats et visible sur les feuilles annexes propres à chaque mode de location. </t>
  </si>
  <si>
    <t xml:space="preserve">Oui 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</si>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</sst>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6" formatCode="#,##0.00\ &quot;€&quot;"/>
    <numFmt numFmtId="167" formatCode="0.0%"/>
    <numFmt numFmtId="168" formatCode="#,##0\ &quot;€&quot;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 Light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u/>
      <sz val="11"/>
      <color theme="1"/>
      <name val="Calibri (Corps)"/>
    </font>
    <font>
      <sz val="11"/>
      <color theme="1"/>
      <name val="Calibri (Corps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4" fontId="4" fillId="0" borderId="0" applyFont="0" applyFill="0" applyBorder="0">
      <alignment horizontal="right"/>
    </xf>
    <xf numFmtId="0" fontId="4" fillId="0" borderId="0">
      <alignment horizontal="right"/>
    </xf>
    <xf numFmtId="44" fontId="4" fillId="0" borderId="0" applyFont="0" applyFill="0" applyBorder="0" applyAlignment="0" applyProtection="0"/>
    <xf numFmtId="1" fontId="4" fillId="0" borderId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center" wrapText="1"/>
    </xf>
    <xf numFmtId="0" fontId="4" fillId="0" borderId="0" applyNumberFormat="0" applyFont="0" applyFill="0" applyBorder="0" applyProtection="0">
      <alignment horizontal="left" indent="5"/>
    </xf>
    <xf numFmtId="10" fontId="4" fillId="0" borderId="0" applyFont="0" applyFill="0" applyBorder="0" applyAlignment="0" applyProtection="0"/>
    <xf numFmtId="0" fontId="4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0" fontId="6" fillId="0" borderId="0"/>
    <xf numFmtId="165" fontId="2" fillId="0" borderId="0" applyFont="0" applyFill="0" applyBorder="0" applyAlignment="0" applyProtection="0"/>
  </cellStyleXfs>
  <cellXfs count="151">
    <xf numFmtId="0" fontId="0" fillId="0" borderId="0" xfId="0"/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indent="1"/>
    </xf>
    <xf numFmtId="49" fontId="10" fillId="0" borderId="0" xfId="0" applyNumberFormat="1" applyFont="1" applyAlignment="1">
      <alignment horizontal="left" vertical="center" indent="1"/>
    </xf>
    <xf numFmtId="49" fontId="10" fillId="2" borderId="0" xfId="0" applyNumberFormat="1" applyFont="1" applyFill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12" fillId="0" borderId="0" xfId="4" applyFont="1">
      <alignment horizontal="right"/>
    </xf>
    <xf numFmtId="0" fontId="4" fillId="0" borderId="0" xfId="4">
      <alignment horizontal="right"/>
    </xf>
    <xf numFmtId="0" fontId="4" fillId="0" borderId="0" xfId="10" applyAlignment="1"/>
    <xf numFmtId="0" fontId="4" fillId="0" borderId="0" xfId="10" applyAlignment="1">
      <alignment horizontal="right"/>
    </xf>
    <xf numFmtId="0" fontId="4" fillId="0" borderId="0" xfId="8" applyFont="1" applyBorder="1">
      <alignment horizontal="left" indent="5"/>
    </xf>
    <xf numFmtId="44" fontId="4" fillId="0" borderId="0" xfId="5" applyFont="1" applyBorder="1" applyAlignment="1">
      <alignment horizontal="right"/>
    </xf>
    <xf numFmtId="10" fontId="4" fillId="0" borderId="0" xfId="9" applyFont="1" applyBorder="1" applyAlignment="1">
      <alignment horizontal="right"/>
    </xf>
    <xf numFmtId="1" fontId="4" fillId="0" borderId="0" xfId="6" applyFont="1" applyBorder="1">
      <alignment horizontal="right"/>
    </xf>
    <xf numFmtId="14" fontId="4" fillId="0" borderId="0" xfId="3" applyFont="1" applyBorder="1">
      <alignment horizontal="right"/>
    </xf>
    <xf numFmtId="44" fontId="4" fillId="2" borderId="0" xfId="5" applyFont="1" applyFill="1" applyBorder="1" applyAlignment="1">
      <alignment horizontal="right"/>
    </xf>
    <xf numFmtId="1" fontId="4" fillId="2" borderId="0" xfId="6" applyFont="1" applyFill="1" applyBorder="1">
      <alignment horizontal="right"/>
    </xf>
    <xf numFmtId="0" fontId="4" fillId="0" borderId="0" xfId="4" applyAlignment="1">
      <alignment horizontal="right" vertical="center"/>
    </xf>
    <xf numFmtId="44" fontId="4" fillId="0" borderId="0" xfId="5" applyFont="1" applyFill="1" applyBorder="1" applyAlignment="1">
      <alignment horizontal="right"/>
    </xf>
    <xf numFmtId="0" fontId="12" fillId="0" borderId="0" xfId="7" applyFont="1" applyBorder="1">
      <alignment horizontal="center" wrapText="1"/>
    </xf>
    <xf numFmtId="0" fontId="13" fillId="0" borderId="0" xfId="4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12" fillId="0" borderId="0" xfId="4" applyFont="1" applyAlignment="1">
      <alignment horizontal="right" vertical="center"/>
    </xf>
    <xf numFmtId="0" fontId="18" fillId="0" borderId="0" xfId="4" applyFont="1" applyAlignment="1">
      <alignment horizontal="right" vertical="center"/>
    </xf>
    <xf numFmtId="14" fontId="4" fillId="2" borderId="0" xfId="3" applyFont="1" applyFill="1" applyBorder="1">
      <alignment horizontal="right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9" fillId="4" borderId="0" xfId="4" applyFont="1" applyFill="1" applyAlignment="1">
      <alignment horizontal="left" vertical="center" indent="2"/>
    </xf>
    <xf numFmtId="0" fontId="4" fillId="0" borderId="0" xfId="4" applyAlignment="1">
      <alignment horizontal="left" vertical="center" indent="2"/>
    </xf>
    <xf numFmtId="0" fontId="4" fillId="2" borderId="0" xfId="4" applyFill="1" applyAlignment="1">
      <alignment horizontal="left" vertical="center" indent="2"/>
    </xf>
    <xf numFmtId="0" fontId="4" fillId="3" borderId="0" xfId="4" applyFill="1" applyAlignment="1">
      <alignment horizontal="left" vertical="center" indent="2"/>
    </xf>
    <xf numFmtId="0" fontId="12" fillId="0" borderId="0" xfId="4" applyFont="1" applyAlignment="1">
      <alignment horizontal="left" vertical="center" indent="2"/>
    </xf>
    <xf numFmtId="0" fontId="4" fillId="2" borderId="0" xfId="4" applyFill="1">
      <alignment horizontal="right"/>
    </xf>
    <xf numFmtId="0" fontId="12" fillId="2" borderId="0" xfId="7" applyFont="1" applyFill="1" applyBorder="1">
      <alignment horizontal="center" wrapText="1"/>
    </xf>
    <xf numFmtId="0" fontId="4" fillId="3" borderId="0" xfId="4" applyFill="1" applyAlignment="1">
      <alignment horizontal="right" vertical="center"/>
    </xf>
    <xf numFmtId="0" fontId="12" fillId="3" borderId="0" xfId="4" applyFont="1" applyFill="1" applyAlignment="1">
      <alignment horizontal="left" vertical="center" indent="2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 indent="2"/>
    </xf>
    <xf numFmtId="49" fontId="10" fillId="2" borderId="0" xfId="0" applyNumberFormat="1" applyFont="1" applyFill="1" applyAlignment="1">
      <alignment horizontal="right" vertical="center" indent="1"/>
    </xf>
    <xf numFmtId="49" fontId="10" fillId="0" borderId="0" xfId="0" applyNumberFormat="1" applyFont="1" applyAlignment="1">
      <alignment horizontal="right" vertical="center" indent="1"/>
    </xf>
    <xf numFmtId="49" fontId="9" fillId="4" borderId="3" xfId="0" applyNumberFormat="1" applyFont="1" applyFill="1" applyBorder="1" applyAlignment="1">
      <alignment horizontal="left" vertical="center" indent="1"/>
    </xf>
    <xf numFmtId="0" fontId="12" fillId="2" borderId="0" xfId="4" applyFont="1" applyFill="1" applyAlignment="1">
      <alignment horizontal="left" vertical="center" indent="2"/>
    </xf>
    <xf numFmtId="166" fontId="10" fillId="0" borderId="0" xfId="0" applyNumberFormat="1" applyFont="1" applyAlignment="1">
      <alignment horizontal="right" vertical="center" indent="2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9" fillId="4" borderId="0" xfId="4" applyFont="1" applyFill="1" applyAlignment="1">
      <alignment vertical="center"/>
    </xf>
    <xf numFmtId="166" fontId="10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166" fontId="4" fillId="2" borderId="0" xfId="4" applyNumberFormat="1" applyFill="1" applyAlignment="1">
      <alignment vertical="center"/>
    </xf>
    <xf numFmtId="166" fontId="4" fillId="0" borderId="0" xfId="4" applyNumberFormat="1" applyAlignment="1">
      <alignment vertical="center"/>
    </xf>
    <xf numFmtId="9" fontId="20" fillId="0" borderId="0" xfId="2" applyFont="1" applyFill="1" applyAlignment="1">
      <alignment vertical="center"/>
    </xf>
    <xf numFmtId="0" fontId="4" fillId="0" borderId="0" xfId="4" applyAlignment="1">
      <alignment vertical="center"/>
    </xf>
    <xf numFmtId="166" fontId="12" fillId="2" borderId="0" xfId="4" applyNumberFormat="1" applyFont="1" applyFill="1" applyAlignment="1">
      <alignment vertical="center"/>
    </xf>
    <xf numFmtId="166" fontId="4" fillId="3" borderId="0" xfId="4" applyNumberFormat="1" applyFill="1" applyAlignment="1">
      <alignment vertical="center"/>
    </xf>
    <xf numFmtId="166" fontId="4" fillId="2" borderId="0" xfId="4" quotePrefix="1" applyNumberFormat="1" applyFill="1" applyAlignment="1">
      <alignment vertical="center"/>
    </xf>
    <xf numFmtId="0" fontId="20" fillId="0" borderId="0" xfId="4" applyFont="1" applyAlignment="1">
      <alignment vertical="center"/>
    </xf>
    <xf numFmtId="10" fontId="13" fillId="0" borderId="0" xfId="2" applyNumberFormat="1" applyFont="1" applyAlignment="1">
      <alignment vertical="center"/>
    </xf>
    <xf numFmtId="0" fontId="14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166" fontId="11" fillId="0" borderId="0" xfId="4" applyNumberFormat="1" applyFont="1" applyAlignment="1">
      <alignment vertical="center"/>
    </xf>
    <xf numFmtId="44" fontId="13" fillId="0" borderId="0" xfId="5" applyFont="1" applyAlignment="1">
      <alignment vertical="center"/>
    </xf>
    <xf numFmtId="10" fontId="15" fillId="0" borderId="0" xfId="2" applyNumberFormat="1" applyFont="1" applyFill="1" applyAlignment="1">
      <alignment vertical="center"/>
    </xf>
    <xf numFmtId="9" fontId="13" fillId="0" borderId="0" xfId="2" applyFont="1" applyAlignment="1">
      <alignment vertical="center"/>
    </xf>
    <xf numFmtId="164" fontId="15" fillId="0" borderId="0" xfId="1" applyFont="1" applyFill="1" applyAlignment="1">
      <alignment vertical="center"/>
    </xf>
    <xf numFmtId="10" fontId="13" fillId="4" borderId="0" xfId="2" applyNumberFormat="1" applyFont="1" applyFill="1" applyAlignment="1">
      <alignment vertical="center"/>
    </xf>
    <xf numFmtId="0" fontId="14" fillId="4" borderId="0" xfId="4" applyFont="1" applyFill="1" applyAlignment="1">
      <alignment vertical="center"/>
    </xf>
    <xf numFmtId="0" fontId="13" fillId="4" borderId="0" xfId="4" applyFont="1" applyFill="1" applyAlignment="1">
      <alignment vertical="center"/>
    </xf>
    <xf numFmtId="0" fontId="15" fillId="4" borderId="0" xfId="4" applyFont="1" applyFill="1" applyAlignment="1">
      <alignment vertical="center"/>
    </xf>
    <xf numFmtId="166" fontId="12" fillId="3" borderId="0" xfId="4" applyNumberFormat="1" applyFont="1" applyFill="1" applyAlignment="1">
      <alignment vertical="center"/>
    </xf>
    <xf numFmtId="166" fontId="4" fillId="2" borderId="0" xfId="2" applyNumberFormat="1" applyFont="1" applyFill="1" applyAlignment="1">
      <alignment vertical="center"/>
    </xf>
    <xf numFmtId="10" fontId="4" fillId="0" borderId="0" xfId="2" applyNumberFormat="1" applyFont="1" applyFill="1" applyAlignment="1">
      <alignment vertical="center"/>
    </xf>
    <xf numFmtId="10" fontId="4" fillId="0" borderId="0" xfId="4" applyNumberFormat="1" applyAlignment="1">
      <alignment vertical="center"/>
    </xf>
    <xf numFmtId="10" fontId="12" fillId="2" borderId="0" xfId="2" applyNumberFormat="1" applyFont="1" applyFill="1" applyAlignment="1">
      <alignment vertical="center"/>
    </xf>
    <xf numFmtId="166" fontId="12" fillId="0" borderId="0" xfId="4" applyNumberFormat="1" applyFont="1" applyAlignment="1">
      <alignment vertical="center"/>
    </xf>
    <xf numFmtId="10" fontId="4" fillId="0" borderId="0" xfId="2" applyNumberFormat="1" applyFont="1" applyAlignment="1">
      <alignment vertical="center"/>
    </xf>
    <xf numFmtId="0" fontId="6" fillId="2" borderId="0" xfId="4" applyFont="1" applyFill="1" applyAlignment="1">
      <alignment horizontal="left" vertical="center" indent="2"/>
    </xf>
    <xf numFmtId="0" fontId="4" fillId="0" borderId="0" xfId="4" applyAlignment="1">
      <alignment horizontal="center" vertical="center"/>
    </xf>
    <xf numFmtId="0" fontId="17" fillId="0" borderId="0" xfId="4" applyFont="1" applyAlignment="1">
      <alignment horizontal="left" vertical="center" indent="2"/>
    </xf>
    <xf numFmtId="1" fontId="4" fillId="0" borderId="0" xfId="6" applyFont="1" applyAlignment="1">
      <alignment horizontal="left" vertical="center" indent="2"/>
    </xf>
    <xf numFmtId="1" fontId="13" fillId="0" borderId="0" xfId="6" applyFont="1" applyAlignment="1">
      <alignment horizontal="left" vertical="center" indent="2"/>
    </xf>
    <xf numFmtId="0" fontId="13" fillId="0" borderId="0" xfId="4" applyFont="1" applyAlignment="1">
      <alignment horizontal="left" vertical="center" indent="2"/>
    </xf>
    <xf numFmtId="49" fontId="7" fillId="0" borderId="0" xfId="0" applyNumberFormat="1" applyFont="1" applyAlignment="1">
      <alignment horizontal="right" vertical="center" indent="1"/>
    </xf>
    <xf numFmtId="49" fontId="8" fillId="0" borderId="0" xfId="0" applyNumberFormat="1" applyFont="1" applyAlignment="1">
      <alignment horizontal="right" vertical="center" indent="1"/>
    </xf>
    <xf numFmtId="49" fontId="6" fillId="0" borderId="0" xfId="0" applyNumberFormat="1" applyFont="1" applyAlignment="1">
      <alignment horizontal="right" vertical="center" indent="1"/>
    </xf>
    <xf numFmtId="166" fontId="6" fillId="0" borderId="0" xfId="0" applyNumberFormat="1" applyFont="1" applyAlignment="1">
      <alignment horizontal="right" vertical="center" indent="1"/>
    </xf>
    <xf numFmtId="49" fontId="11" fillId="0" borderId="0" xfId="0" applyNumberFormat="1" applyFont="1" applyAlignment="1">
      <alignment horizontal="right" vertical="center" indent="1"/>
    </xf>
    <xf numFmtId="49" fontId="0" fillId="0" borderId="0" xfId="0" applyNumberFormat="1" applyAlignment="1">
      <alignment horizontal="right" vertical="center" indent="1"/>
    </xf>
    <xf numFmtId="166" fontId="10" fillId="3" borderId="0" xfId="0" applyNumberFormat="1" applyFont="1" applyFill="1" applyAlignment="1">
      <alignment horizontal="right" vertical="center" indent="2"/>
    </xf>
    <xf numFmtId="49" fontId="10" fillId="0" borderId="0" xfId="0" applyNumberFormat="1" applyFont="1" applyAlignment="1">
      <alignment horizontal="right" vertical="center" indent="2"/>
    </xf>
    <xf numFmtId="49" fontId="10" fillId="4" borderId="5" xfId="0" applyNumberFormat="1" applyFont="1" applyFill="1" applyBorder="1" applyAlignment="1">
      <alignment horizontal="right" vertical="center" indent="2"/>
    </xf>
    <xf numFmtId="49" fontId="6" fillId="0" borderId="0" xfId="2" applyNumberFormat="1" applyFont="1" applyFill="1" applyBorder="1" applyAlignment="1">
      <alignment horizontal="right" vertical="center" indent="1"/>
    </xf>
    <xf numFmtId="168" fontId="6" fillId="0" borderId="0" xfId="0" applyNumberFormat="1" applyFont="1" applyAlignment="1">
      <alignment horizontal="right" vertical="center" indent="1"/>
    </xf>
    <xf numFmtId="168" fontId="10" fillId="2" borderId="0" xfId="0" applyNumberFormat="1" applyFont="1" applyFill="1" applyAlignment="1">
      <alignment horizontal="right" vertical="center" indent="1"/>
    </xf>
    <xf numFmtId="168" fontId="6" fillId="3" borderId="0" xfId="0" applyNumberFormat="1" applyFont="1" applyFill="1" applyAlignment="1">
      <alignment horizontal="right" vertical="center" indent="1"/>
    </xf>
    <xf numFmtId="168" fontId="6" fillId="3" borderId="2" xfId="0" applyNumberFormat="1" applyFont="1" applyFill="1" applyBorder="1" applyAlignment="1">
      <alignment horizontal="right" vertical="center" indent="1"/>
    </xf>
    <xf numFmtId="168" fontId="10" fillId="0" borderId="0" xfId="0" applyNumberFormat="1" applyFont="1" applyAlignment="1">
      <alignment horizontal="right" vertical="center" indent="1"/>
    </xf>
    <xf numFmtId="10" fontId="21" fillId="4" borderId="5" xfId="0" applyNumberFormat="1" applyFont="1" applyFill="1" applyBorder="1" applyAlignment="1">
      <alignment vertical="center"/>
    </xf>
    <xf numFmtId="10" fontId="9" fillId="4" borderId="4" xfId="0" applyNumberFormat="1" applyFont="1" applyFill="1" applyBorder="1" applyAlignment="1">
      <alignment horizontal="right" vertical="center" indent="1"/>
    </xf>
    <xf numFmtId="49" fontId="9" fillId="0" borderId="0" xfId="0" applyNumberFormat="1" applyFont="1" applyAlignment="1">
      <alignment horizontal="left" vertical="center" indent="1"/>
    </xf>
    <xf numFmtId="165" fontId="10" fillId="0" borderId="0" xfId="13" applyFont="1" applyFill="1" applyBorder="1" applyAlignment="1">
      <alignment horizontal="right" indent="1"/>
    </xf>
    <xf numFmtId="10" fontId="12" fillId="0" borderId="0" xfId="2" applyNumberFormat="1" applyFont="1" applyFill="1" applyAlignment="1">
      <alignment vertical="center"/>
    </xf>
    <xf numFmtId="166" fontId="4" fillId="0" borderId="0" xfId="2" applyNumberFormat="1" applyFont="1" applyAlignment="1">
      <alignment vertical="center"/>
    </xf>
    <xf numFmtId="166" fontId="12" fillId="0" borderId="0" xfId="2" applyNumberFormat="1" applyFont="1" applyAlignment="1">
      <alignment vertical="center"/>
    </xf>
    <xf numFmtId="0" fontId="14" fillId="0" borderId="0" xfId="4" applyFont="1" applyAlignment="1">
      <alignment horizontal="right" vertical="center"/>
    </xf>
    <xf numFmtId="166" fontId="6" fillId="0" borderId="0" xfId="2" applyNumberFormat="1" applyFont="1" applyAlignment="1">
      <alignment vertical="center"/>
    </xf>
    <xf numFmtId="10" fontId="12" fillId="0" borderId="0" xfId="4" applyNumberFormat="1" applyFont="1" applyAlignment="1">
      <alignment vertical="center"/>
    </xf>
    <xf numFmtId="10" fontId="10" fillId="0" borderId="0" xfId="4" applyNumberFormat="1" applyFont="1" applyAlignment="1">
      <alignment vertical="center"/>
    </xf>
    <xf numFmtId="10" fontId="14" fillId="0" borderId="0" xfId="4" applyNumberFormat="1" applyFont="1" applyAlignment="1">
      <alignment vertical="center"/>
    </xf>
    <xf numFmtId="10" fontId="10" fillId="2" borderId="0" xfId="2" applyNumberFormat="1" applyFont="1" applyFill="1" applyAlignment="1">
      <alignment horizontal="right" vertical="center" indent="1"/>
    </xf>
    <xf numFmtId="166" fontId="10" fillId="3" borderId="0" xfId="2" applyNumberFormat="1" applyFont="1" applyFill="1" applyAlignment="1">
      <alignment vertical="center"/>
    </xf>
    <xf numFmtId="168" fontId="10" fillId="3" borderId="0" xfId="2" applyNumberFormat="1" applyFont="1" applyFill="1" applyAlignment="1">
      <alignment horizontal="right" vertical="center" indent="1"/>
    </xf>
    <xf numFmtId="49" fontId="9" fillId="4" borderId="5" xfId="0" applyNumberFormat="1" applyFont="1" applyFill="1" applyBorder="1" applyAlignment="1">
      <alignment horizontal="right" vertical="center"/>
    </xf>
    <xf numFmtId="49" fontId="9" fillId="4" borderId="9" xfId="0" applyNumberFormat="1" applyFont="1" applyFill="1" applyBorder="1" applyAlignment="1">
      <alignment horizontal="left" vertical="center" indent="1"/>
    </xf>
    <xf numFmtId="168" fontId="9" fillId="4" borderId="10" xfId="0" applyNumberFormat="1" applyFont="1" applyFill="1" applyBorder="1" applyAlignment="1">
      <alignment horizontal="right" vertical="center" indent="1"/>
    </xf>
    <xf numFmtId="168" fontId="10" fillId="5" borderId="8" xfId="0" applyNumberFormat="1" applyFont="1" applyFill="1" applyBorder="1" applyAlignment="1">
      <alignment horizontal="right" vertical="center" indent="1"/>
    </xf>
    <xf numFmtId="168" fontId="6" fillId="5" borderId="7" xfId="0" applyNumberFormat="1" applyFont="1" applyFill="1" applyBorder="1" applyAlignment="1">
      <alignment horizontal="right" vertical="center" indent="1"/>
    </xf>
    <xf numFmtId="168" fontId="10" fillId="5" borderId="7" xfId="0" applyNumberFormat="1" applyFont="1" applyFill="1" applyBorder="1" applyAlignment="1">
      <alignment horizontal="right" vertical="center" indent="1"/>
    </xf>
    <xf numFmtId="167" fontId="6" fillId="5" borderId="7" xfId="2" applyNumberFormat="1" applyFont="1" applyFill="1" applyBorder="1" applyAlignment="1">
      <alignment horizontal="right" vertical="center" indent="1"/>
    </xf>
    <xf numFmtId="9" fontId="6" fillId="5" borderId="8" xfId="0" applyNumberFormat="1" applyFont="1" applyFill="1" applyBorder="1" applyAlignment="1">
      <alignment horizontal="left" vertical="center" indent="9"/>
    </xf>
    <xf numFmtId="166" fontId="6" fillId="5" borderId="7" xfId="0" applyNumberFormat="1" applyFont="1" applyFill="1" applyBorder="1" applyAlignment="1">
      <alignment horizontal="right" vertical="center" indent="1"/>
    </xf>
    <xf numFmtId="10" fontId="6" fillId="5" borderId="7" xfId="0" applyNumberFormat="1" applyFont="1" applyFill="1" applyBorder="1" applyAlignment="1">
      <alignment horizontal="right" vertical="center" indent="1"/>
    </xf>
    <xf numFmtId="49" fontId="6" fillId="0" borderId="0" xfId="0" applyNumberFormat="1" applyFont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indent="1"/>
    </xf>
    <xf numFmtId="49" fontId="6" fillId="0" borderId="16" xfId="0" applyNumberFormat="1" applyFont="1" applyBorder="1" applyAlignment="1">
      <alignment horizontal="left" vertical="center" indent="1"/>
    </xf>
    <xf numFmtId="49" fontId="6" fillId="0" borderId="17" xfId="0" applyNumberFormat="1" applyFont="1" applyBorder="1" applyAlignment="1">
      <alignment horizontal="right" vertical="center" indent="1"/>
    </xf>
    <xf numFmtId="49" fontId="6" fillId="0" borderId="18" xfId="0" applyNumberFormat="1" applyFont="1" applyBorder="1" applyAlignment="1">
      <alignment horizontal="right" vertical="center" indent="1"/>
    </xf>
    <xf numFmtId="49" fontId="6" fillId="0" borderId="0" xfId="0" applyNumberFormat="1" applyFont="1" applyAlignment="1">
      <alignment horizontal="left" vertical="center" wrapText="1" indent="1"/>
    </xf>
    <xf numFmtId="49" fontId="6" fillId="0" borderId="15" xfId="0" applyNumberFormat="1" applyFont="1" applyBorder="1" applyAlignment="1">
      <alignment horizontal="left" vertical="center" wrapText="1" indent="1"/>
    </xf>
    <xf numFmtId="49" fontId="6" fillId="0" borderId="14" xfId="0" applyNumberFormat="1" applyFont="1" applyBorder="1" applyAlignment="1">
      <alignment horizontal="left" vertical="center" wrapText="1" indent="1"/>
    </xf>
    <xf numFmtId="49" fontId="6" fillId="0" borderId="0" xfId="0" applyNumberFormat="1" applyFont="1" applyAlignment="1">
      <alignment horizontal="left" vertical="center" indent="2"/>
    </xf>
    <xf numFmtId="49" fontId="6" fillId="0" borderId="15" xfId="0" applyNumberFormat="1" applyFont="1" applyBorder="1" applyAlignment="1">
      <alignment horizontal="left" vertical="center" indent="2"/>
    </xf>
    <xf numFmtId="49" fontId="0" fillId="0" borderId="11" xfId="0" applyNumberFormat="1" applyBorder="1" applyAlignment="1">
      <alignment horizontal="right" vertical="center" indent="1"/>
    </xf>
    <xf numFmtId="9" fontId="4" fillId="0" borderId="0" xfId="2" applyFont="1" applyAlignment="1">
      <alignment vertical="center"/>
    </xf>
    <xf numFmtId="10" fontId="13" fillId="0" borderId="0" xfId="4" applyNumberFormat="1" applyFont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 wrapText="1" indent="1"/>
    </xf>
    <xf numFmtId="49" fontId="6" fillId="0" borderId="13" xfId="0" applyNumberFormat="1" applyFont="1" applyBorder="1" applyAlignment="1">
      <alignment horizontal="left" vertical="center" wrapText="1" indent="1"/>
    </xf>
    <xf numFmtId="9" fontId="10" fillId="3" borderId="0" xfId="2" applyFont="1" applyFill="1" applyAlignment="1">
      <alignment horizontal="right" vertical="center" indent="1"/>
    </xf>
    <xf numFmtId="49" fontId="9" fillId="4" borderId="9" xfId="0" applyNumberFormat="1" applyFont="1" applyFill="1" applyBorder="1" applyAlignment="1">
      <alignment horizontal="left" vertical="center" indent="1"/>
    </xf>
    <xf numFmtId="49" fontId="9" fillId="4" borderId="10" xfId="0" applyNumberFormat="1" applyFont="1" applyFill="1" applyBorder="1" applyAlignment="1">
      <alignment horizontal="left" vertical="center" indent="1"/>
    </xf>
    <xf numFmtId="166" fontId="12" fillId="3" borderId="0" xfId="0" applyNumberFormat="1" applyFont="1" applyFill="1" applyAlignment="1">
      <alignment horizontal="right" vertical="center" indent="1"/>
    </xf>
    <xf numFmtId="166" fontId="10" fillId="3" borderId="6" xfId="0" applyNumberFormat="1" applyFont="1" applyFill="1" applyBorder="1" applyAlignment="1">
      <alignment horizontal="right" vertical="center" indent="1"/>
    </xf>
    <xf numFmtId="168" fontId="10" fillId="0" borderId="6" xfId="0" applyNumberFormat="1" applyFont="1" applyBorder="1" applyAlignment="1">
      <alignment horizontal="right" vertical="center" indent="1"/>
    </xf>
    <xf numFmtId="0" fontId="9" fillId="4" borderId="0" xfId="11" applyFont="1" applyFill="1" applyBorder="1" applyAlignment="1">
      <alignment horizontal="left" vertical="center"/>
    </xf>
    <xf numFmtId="0" fontId="4" fillId="0" borderId="0" xfId="8" applyFont="1" applyBorder="1">
      <alignment horizontal="left" indent="5"/>
    </xf>
  </cellXfs>
  <cellStyles count="14">
    <cellStyle name="Date" xfId="3" xr:uid="{A417E412-88BB-3F41-A8CB-2B752806FAC3}"/>
    <cellStyle name="Milliers" xfId="13" builtinId="3"/>
    <cellStyle name="Milliers 2" xfId="6" xr:uid="{B22FCF32-2656-FF48-BE4C-0C2692B38238}"/>
    <cellStyle name="Monétaire" xfId="1" builtinId="4"/>
    <cellStyle name="Monétaire 2" xfId="5" xr:uid="{B6C4FDD3-D1A4-564F-B178-2E218BFCC7AC}"/>
    <cellStyle name="Normal" xfId="0" builtinId="0"/>
    <cellStyle name="Normal 2" xfId="4" xr:uid="{99235A36-9764-CF40-AA39-1E71565502DA}"/>
    <cellStyle name="Normal 2 2" xfId="12" xr:uid="{11053B54-5315-C94A-80C0-EA463DBCABBB}"/>
    <cellStyle name="Pourcentage" xfId="2" builtinId="5"/>
    <cellStyle name="Pourcentage 2" xfId="9" xr:uid="{33F55FB5-990C-4C4E-854A-ACAEA94C22A8}"/>
    <cellStyle name="Titre 5" xfId="11" xr:uid="{5734B462-DE54-124D-BB08-D4BA9CA51DD0}"/>
    <cellStyle name="Titre 1 2" xfId="10" xr:uid="{E33A0739-07B1-EB41-ADF5-C5CB590783CB}"/>
    <cellStyle name="Titre 2 2" xfId="8" xr:uid="{670C04A1-58B8-B948-A026-266484A78DCA}"/>
    <cellStyle name="Titre 3 2" xfId="7" xr:uid="{240AF25E-F7A6-8840-A039-EA7A9CB01D31}"/>
  </cellStyles>
  <dxfs count="99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font>
        <u val="none"/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font>
        <u val="none"/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font>
        <u val="none"/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0" formatCode="General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auto="1"/>
        <name val="Cordia New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#.##0\.00\ &quot;€&quot;"/>
      <alignment vertical="center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#.##0\.00\ &quot;€&quot;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dia New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#.##0\.00\ &quot;€&quot;"/>
      <alignment vertical="center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#.##0\.00\ &quot;€&quot;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ordia New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9" formatCode="#.##0\.00\ &quot;€&quot;"/>
      <alignment vertical="center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9" formatCode="#.##0\.00\ &quot;€&quot;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2E7B"/>
      <color rgb="FF652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alvinette/Documents/Gestion%20de%20patrimoine/Projet%20SC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PI via SC à l'IS"/>
      <sheetName val="SCPI en direct"/>
      <sheetName val="Calculateur de prêt"/>
      <sheetName val="Projet SCPI"/>
    </sheetNames>
    <sheetDataSet>
      <sheetData sheetId="0" refreshError="1"/>
      <sheetData sheetId="1" refreshError="1"/>
      <sheetData sheetId="2">
        <row r="4">
          <cell r="G4">
            <v>180000</v>
          </cell>
        </row>
        <row r="5">
          <cell r="G5">
            <v>2.1000000000000001E-2</v>
          </cell>
        </row>
        <row r="6">
          <cell r="G6">
            <v>25</v>
          </cell>
        </row>
        <row r="7">
          <cell r="G7">
            <v>44871</v>
          </cell>
        </row>
        <row r="10">
          <cell r="G10">
            <v>300</v>
          </cell>
        </row>
        <row r="13">
          <cell r="D13" t="str">
            <v>N°</v>
          </cell>
          <cell r="E13" t="str">
            <v>Paiement
Date</v>
          </cell>
          <cell r="F13" t="str">
            <v>Début
Solde</v>
          </cell>
          <cell r="G13" t="str">
            <v>Paiement</v>
          </cell>
          <cell r="H13" t="str">
            <v>Capital</v>
          </cell>
          <cell r="I13" t="str">
            <v>Intérêts</v>
          </cell>
          <cell r="J13" t="str">
            <v>Fin
Solde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29D305-A55F-4B4F-9B37-336CF4EE8250}" name="Prêt3245" displayName="Prêt3245" ref="A38:G78" headerRowDxfId="98" dataDxfId="97" totalsRowDxfId="95" tableBorderDxfId="96" headerRowCellStyle="Normal 2">
  <autoFilter ref="A38:G7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A5EEEB3-D029-A44B-B9FE-BD2E57C7F453}" name="Colonne1" totalsRowLabel="Total" dataDxfId="94">
      <calculatedColumnFormula>IFERROR(IF(Prêt_Non_Payé*Valeurs_Entrées,Numéro_Paiement,""), "")</calculatedColumnFormula>
    </tableColumn>
    <tableColumn id="3" xr3:uid="{864EED93-4819-9A4C-995D-39847C72D7E9}" name="Colonne2" dataDxfId="93" dataCellStyle="Monétaire">
      <calculatedColumnFormula>IFERROR(IF(Prêt_Non_Payé*Valeurs_Entrées,Début_Solde,""), "")</calculatedColumnFormula>
    </tableColumn>
    <tableColumn id="4" xr3:uid="{92718046-BA90-2945-87DA-BA4F82B92A96}" name="Colonne3" dataDxfId="92" dataCellStyle="Monétaire">
      <calculatedColumnFormula>IFERROR(IF(Prêt_Non_Payé*Valeurs_Entrées,Mensualité,""), "")</calculatedColumnFormula>
    </tableColumn>
    <tableColumn id="5" xr3:uid="{DEF43689-E588-9D4D-97CF-CADD320045AA}" name="Colonne4" dataDxfId="91" dataCellStyle="Monétaire">
      <calculatedColumnFormula>IFERROR(IF(Prêt_Non_Payé*Valeurs_Entrées,Capital,""), "")</calculatedColumnFormula>
    </tableColumn>
    <tableColumn id="6" xr3:uid="{FB2FD433-4097-7C42-BDE1-B835C7EAE7E4}" name="Colonne5" dataDxfId="90" dataCellStyle="Monétaire">
      <calculatedColumnFormula>IFERROR(IF(Prêt_Non_Payé*Valeurs_Entrées,Intérêts,""), "")</calculatedColumnFormula>
    </tableColumn>
    <tableColumn id="7" xr3:uid="{384D9DF2-428B-3F49-94EE-399CE1E64D9B}" name="Colonne6" totalsRowFunction="count" dataDxfId="89" dataCellStyle="Monétaire">
      <calculatedColumnFormula>IFERROR(IF(Prêt_Non_Payé*Valeurs_Entrées,Fin_Solde,""), "")</calculatedColumnFormula>
    </tableColumn>
    <tableColumn id="8" xr3:uid="{31EB2CD2-7450-FE45-B255-97BD11BE2597}" name="Colonne7" dataDxfId="88" totalsRowDxfId="87" dataCellStyle="Monétaire">
      <calculatedColumnFormula>(Montant_du_prêt-Prêt3245[[#This Row],[Colonne6]])/Montant_du_prêt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uivez le numéro de paiement, la date de paiement, le solde de départ, le paiement, le capital, le montant des intérêts et le solde final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6B7972-4B08-484C-BD4C-6E7DBD140E3E}" name="Prêt32452" displayName="Prêt32452" ref="A49:G89" headerRowDxfId="86" dataDxfId="85" totalsRowDxfId="83" tableBorderDxfId="84" headerRowCellStyle="Normal 2">
  <autoFilter ref="A49:G8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A4A12DC-FB54-224B-AE5C-A7126CC8724C}" name="Colonne1" totalsRowLabel="Total" dataDxfId="82">
      <calculatedColumnFormula>IFERROR(IF(Prêt_Non_Payé*Valeurs_Entrées,Numéro_Paiement,""), "")</calculatedColumnFormula>
    </tableColumn>
    <tableColumn id="3" xr3:uid="{046B7AD2-7754-0740-8010-963C0B9AA98C}" name="Colonne2" dataDxfId="81" dataCellStyle="Monétaire">
      <calculatedColumnFormula>IFERROR(IF(Prêt_Non_Payé*Valeurs_Entrées,Début_Solde,""), "")</calculatedColumnFormula>
    </tableColumn>
    <tableColumn id="4" xr3:uid="{7610A98E-9272-714A-AE71-9B3CCA681CC3}" name="Colonne3" dataDxfId="80" dataCellStyle="Monétaire">
      <calculatedColumnFormula>IFERROR(IF(Prêt_Non_Payé*Valeurs_Entrées,Mensualité,""), "")</calculatedColumnFormula>
    </tableColumn>
    <tableColumn id="5" xr3:uid="{07CE54CB-5EA6-8D41-B639-45B20EC3FD8D}" name="Colonne4" dataDxfId="79" dataCellStyle="Monétaire">
      <calculatedColumnFormula>IFERROR(IF(Prêt_Non_Payé*Valeurs_Entrées,Capital,""), "")</calculatedColumnFormula>
    </tableColumn>
    <tableColumn id="6" xr3:uid="{3A409AFB-D2C6-2247-97FC-FD968FF78625}" name="Colonne5" dataDxfId="78" dataCellStyle="Monétaire">
      <calculatedColumnFormula>IFERROR(IF(Prêt_Non_Payé*Valeurs_Entrées,Intérêts,""), "")</calculatedColumnFormula>
    </tableColumn>
    <tableColumn id="7" xr3:uid="{E0FB8222-D546-774E-A631-B3322AA774FB}" name="Colonne6" totalsRowFunction="count" dataDxfId="77" dataCellStyle="Monétaire">
      <calculatedColumnFormula>IFERROR(IF(Prêt_Non_Payé*Valeurs_Entrées,Fin_Solde,""), "")</calculatedColumnFormula>
    </tableColumn>
    <tableColumn id="8" xr3:uid="{33C1D9AA-FBC0-BC48-AE08-B1712332433B}" name="Colonne7" dataDxfId="76" totalsRowDxfId="75" dataCellStyle="Monétaire">
      <calculatedColumnFormula>(Montant_du_prêt-Prêt32452[[#This Row],[Colonne6]])/Montant_du_prêt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uivez le numéro de paiement, la date de paiement, le solde de départ, le paiement, le capital, le montant des intérêts et le solde final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9F397F-61BB-D345-82B9-03BBC0F6E2C1}" name="Prêt324526" displayName="Prêt324526" ref="A49:G89" headerRowDxfId="74" dataDxfId="73" totalsRowDxfId="71" tableBorderDxfId="72" headerRowCellStyle="Normal 2">
  <autoFilter ref="A49:G8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9E3CF9C-52A9-4448-987D-9781A3754FA8}" name="Colonne1" totalsRowLabel="Total" dataDxfId="70">
      <calculatedColumnFormula>IFERROR(IF(Prêt_Non_Payé*Valeurs_Entrées,Numéro_Paiement,""), "")</calculatedColumnFormula>
    </tableColumn>
    <tableColumn id="3" xr3:uid="{9CB635C6-32DC-CD4D-B90D-771635DD30D8}" name="Colonne2" dataDxfId="69" dataCellStyle="Monétaire">
      <calculatedColumnFormula>IFERROR(IF(Prêt_Non_Payé*Valeurs_Entrées,Début_Solde,""), "")</calculatedColumnFormula>
    </tableColumn>
    <tableColumn id="4" xr3:uid="{CF7B9A68-6A59-A740-B401-CBDEBCE670D1}" name="Colonne3" dataDxfId="68" dataCellStyle="Monétaire">
      <calculatedColumnFormula>IFERROR(IF(Prêt_Non_Payé*Valeurs_Entrées,Mensualité,""), "")</calculatedColumnFormula>
    </tableColumn>
    <tableColumn id="5" xr3:uid="{B254CD97-8BEF-4046-A435-F35744DB173E}" name="Colonne4" dataDxfId="67" dataCellStyle="Monétaire">
      <calculatedColumnFormula>IFERROR(IF(Prêt_Non_Payé*Valeurs_Entrées,Capital,""), "")</calculatedColumnFormula>
    </tableColumn>
    <tableColumn id="6" xr3:uid="{183655BA-0AD9-5043-A406-085ACD2C30E5}" name="Colonne5" dataDxfId="66" dataCellStyle="Monétaire">
      <calculatedColumnFormula>IFERROR(IF(Prêt_Non_Payé*Valeurs_Entrées,Intérêts,""), "")</calculatedColumnFormula>
    </tableColumn>
    <tableColumn id="7" xr3:uid="{4FFF1BC5-B240-1E40-AF06-C6A96916306F}" name="Colonne6" totalsRowFunction="count" dataDxfId="65" dataCellStyle="Monétaire">
      <calculatedColumnFormula>IFERROR(IF(Prêt_Non_Payé*Valeurs_Entrées,Fin_Solde,""), "")</calculatedColumnFormula>
    </tableColumn>
    <tableColumn id="8" xr3:uid="{66B8A26E-A99F-774F-BFAA-1B5FBE551F12}" name="Colonne7" dataDxfId="64" totalsRowDxfId="63" dataCellStyle="Monétaire">
      <calculatedColumnFormula>(Montant_du_prêt-Prêt324526[[#This Row],[Colonne6]])/Montant_du_prêt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uivez le numéro de paiement, la date de paiement, le solde de départ, le paiement, le capital, le montant des intérêts et le solde final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8E552B-7A46-4748-870F-6669D1D3A072}" name="Prêt3" displayName="Prêt3" ref="D14:J374" headerRowDxfId="62" dataDxfId="61" totalsRowDxfId="59" tableBorderDxfId="60">
  <autoFilter ref="D14:J37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95CF311-31B4-CA43-8BB9-49C649EB98F5}" name="N°" totalsRowLabel="Total" dataDxfId="58">
      <calculatedColumnFormula>IFERROR(IF(Prêt_Non_Payé*Valeurs_Entrées,Numéro_Paiement,""), "")</calculatedColumnFormula>
    </tableColumn>
    <tableColumn id="2" xr3:uid="{BA5D9E46-2221-3F4F-8086-8EEE8FFA998C}" name="Paiement_x000a_Date" dataDxfId="57" totalsRowDxfId="56" dataCellStyle="Date">
      <calculatedColumnFormula>IFERROR(IF(Prêt_Non_Payé*Valeurs_Entrées,Paiement_Date,""), "")</calculatedColumnFormula>
    </tableColumn>
    <tableColumn id="3" xr3:uid="{484B3F2D-5B5C-464A-A599-BE56A35E47A7}" name="Début_x000a_Solde" dataDxfId="55" dataCellStyle="Monétaire">
      <calculatedColumnFormula>IFERROR(IF(Prêt_Non_Payé*Valeurs_Entrées,Début_Solde,""), "")</calculatedColumnFormula>
    </tableColumn>
    <tableColumn id="4" xr3:uid="{18CE4AA1-AC47-C04C-A53B-2CBBC9E77391}" name="Paiement" dataDxfId="54" dataCellStyle="Monétaire">
      <calculatedColumnFormula>IFERROR(IF(Prêt_Non_Payé*Valeurs_Entrées,Mensualité,""), "")</calculatedColumnFormula>
    </tableColumn>
    <tableColumn id="5" xr3:uid="{56F5C3A9-2F12-B946-BC4F-F924391202AE}" name="Capital" dataDxfId="53" dataCellStyle="Monétaire">
      <calculatedColumnFormula>IFERROR(IF(Prêt_Non_Payé*Valeurs_Entrées,Capital,""), "")</calculatedColumnFormula>
    </tableColumn>
    <tableColumn id="6" xr3:uid="{E2CFCDB3-C192-C644-8E82-23C02C321862}" name="Intérêts" dataDxfId="52" dataCellStyle="Monétaire">
      <calculatedColumnFormula>IFERROR(IF(Prêt_Non_Payé*Valeurs_Entrées,Intérêts,""), "")</calculatedColumnFormula>
    </tableColumn>
    <tableColumn id="7" xr3:uid="{98C0CFF6-FFBC-614C-ACCD-D12B87157F47}" name="Fin_x000a_Solde" totalsRowFunction="count" dataDxfId="51" dataCellStyle="Monétaire">
      <calculatedColumnFormula>IFERROR(IF(Prêt_Non_Payé*Valeurs_Entrées,Fin_Solde,""), "")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uivez le numéro de paiement, la date de paiement, le solde de départ, le paiement, le capital, le montant des intérêts et le solde final."/>
    </ext>
  </extLst>
</table>
</file>

<file path=xl/theme/theme1.xml><?xml version="1.0" encoding="utf-8"?>
<a:theme xmlns:a="http://schemas.openxmlformats.org/drawingml/2006/main" name="Rétrospective">
  <a:themeElements>
    <a:clrScheme name="Rétrospectiv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étrospectiv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étrospective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  <wetp:taskpane dockstate="right" visibility="0" width="35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7AB91A6C-E8FF-AA4C-AA2B-477F7128B9D9}">
  <we:reference id="wa104381893" version="1.1.0.0" store="fr-FR" storeType="OMEX"/>
  <we:alternateReferences>
    <we:reference id="WA104381893" version="1.1.0.0" store="WA104381893" storeType="OMEX"/>
  </we:alternateReferences>
  <we:properties>
    <we:property name="tutorialPlayed" value="true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_xldudf_YAIQUOTES_GETCURRENTQUOTE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92AC524B-E269-9D4C-B556-123A27A16552}">
  <we:reference id="wa104379220" version="8.0.0.0" store="fr-FR" storeType="OMEX"/>
  <we:alternateReferences>
    <we:reference id="wa104379220" version="8.0.0.0" store="fr-FR" storeType="OMEX"/>
  </we:alternateReferences>
  <we:properties>
    <we:property name="Office.AutoShowTaskpaneWithDocument" value="true"/>
    <we:property name="stocks" value="{&quot;MC-FP&quot;:[&quot;MC-FP&quot;,802.6,-0.0032290114257327307]}"/>
    <we:property name="stocksChange" value="{&quot;MC-FPchange&quot;:[&quot;MC-FP&quot;,-0.0032290114257327307,802.6]}"/>
    <we:property name="stocksOrder" value="[&quot;MC-FP&quot;]"/>
    <we:property name="stocksSources" value="{&quot;MC-FP&quot;:0}"/>
    <we:property name="updateIntervalIndex" value="2"/>
  </we:properties>
  <we:bindings>
    <we:binding id="MC-FP" type="text" appref="{73FDBEDB-4A34-F342-B1DE-2B94B344CA4C}"/>
    <we:binding id="MC-FPchange" type="text" appref="{FFDF74B1-7B83-A14F-845C-C37D9CBC08DF}"/>
  </we:bindings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E1E0-3DFA-0745-9E0B-A92222B1C86E}">
  <sheetPr codeName="Feuil1">
    <tabColor theme="0"/>
  </sheetPr>
  <dimension ref="B1:G106"/>
  <sheetViews>
    <sheetView showGridLines="0" topLeftCell="A10" zoomScaleNormal="100" workbookViewId="0">
      <selection activeCell="D18" sqref="D18"/>
    </sheetView>
  </sheetViews>
  <sheetFormatPr baseColWidth="10" defaultColWidth="10.8125" defaultRowHeight="14.25" outlineLevelRow="2"/>
  <cols>
    <col min="1" max="1" width="25" style="2" customWidth="1"/>
    <col min="2" max="2" width="98.8125" style="2" customWidth="1"/>
    <col min="3" max="5" width="18.8125" style="88" customWidth="1"/>
    <col min="6" max="7" width="21.5" style="2" customWidth="1"/>
    <col min="8" max="8" width="24.1875" style="2" customWidth="1"/>
    <col min="9" max="9" width="6.8125" style="2" customWidth="1"/>
    <col min="10" max="16384" width="10.8125" style="2"/>
  </cols>
  <sheetData>
    <row r="1" spans="2:7" ht="24" customHeight="1">
      <c r="B1" s="1"/>
      <c r="C1" s="86"/>
      <c r="D1" s="86"/>
      <c r="E1" s="86"/>
    </row>
    <row r="2" spans="2:7" ht="41" customHeight="1">
      <c r="B2" s="24" t="s">
        <v>27</v>
      </c>
      <c r="C2" s="91"/>
      <c r="D2" s="91"/>
      <c r="E2" s="87"/>
    </row>
    <row r="3" spans="2:7" ht="16.05" customHeight="1" outlineLevel="1">
      <c r="B3" s="144" t="s">
        <v>46</v>
      </c>
      <c r="C3" s="145"/>
      <c r="D3" s="103"/>
      <c r="E3" s="87"/>
    </row>
    <row r="4" spans="2:7" ht="16.05" customHeight="1" outlineLevel="2">
      <c r="B4" s="5" t="s">
        <v>48</v>
      </c>
      <c r="C4" s="123">
        <v>0.11</v>
      </c>
      <c r="D4" s="104"/>
      <c r="E4" s="87"/>
    </row>
    <row r="5" spans="2:7" ht="16.05" customHeight="1" outlineLevel="2">
      <c r="B5" s="5" t="s">
        <v>49</v>
      </c>
      <c r="C5" s="124" t="s">
        <v>117</v>
      </c>
      <c r="D5" s="100"/>
      <c r="E5" s="87"/>
    </row>
    <row r="6" spans="2:7" ht="16.05" customHeight="1" outlineLevel="1">
      <c r="B6" s="24"/>
      <c r="C6" s="136"/>
      <c r="D6" s="100"/>
      <c r="E6" s="87"/>
    </row>
    <row r="7" spans="2:7" ht="16.05" customHeight="1" outlineLevel="1">
      <c r="B7" s="117" t="s">
        <v>28</v>
      </c>
      <c r="C7" s="118"/>
      <c r="D7" s="100"/>
      <c r="F7" s="3"/>
      <c r="G7" s="4"/>
    </row>
    <row r="8" spans="2:7" ht="16.05" customHeight="1" outlineLevel="2">
      <c r="B8" s="5" t="s">
        <v>87</v>
      </c>
      <c r="C8" s="119">
        <v>169000</v>
      </c>
      <c r="D8" s="100"/>
    </row>
    <row r="9" spans="2:7" ht="16.05" customHeight="1" outlineLevel="2">
      <c r="B9" s="5" t="s">
        <v>29</v>
      </c>
      <c r="C9" s="120"/>
      <c r="D9" s="100"/>
    </row>
    <row r="10" spans="2:7" ht="16.05" customHeight="1" outlineLevel="2">
      <c r="B10" s="5" t="s">
        <v>17</v>
      </c>
      <c r="C10" s="120">
        <v>50000</v>
      </c>
      <c r="D10" s="100"/>
      <c r="E10" s="42"/>
    </row>
    <row r="11" spans="2:7" ht="16.05" customHeight="1" outlineLevel="2">
      <c r="B11" s="5" t="s">
        <v>30</v>
      </c>
      <c r="C11" s="99">
        <f>Prix_d_achat*0.08</f>
        <v>13520</v>
      </c>
      <c r="D11" s="100"/>
      <c r="E11" s="42"/>
    </row>
    <row r="12" spans="2:7" ht="16.05" customHeight="1" outlineLevel="2">
      <c r="B12" s="7" t="s">
        <v>19</v>
      </c>
      <c r="C12" s="97">
        <f>SUM(C8:C11)</f>
        <v>232520</v>
      </c>
      <c r="D12" s="100"/>
      <c r="E12" s="42"/>
    </row>
    <row r="13" spans="2:7" ht="16.05" customHeight="1" outlineLevel="1">
      <c r="B13" s="6"/>
      <c r="C13" s="92"/>
      <c r="D13" s="100"/>
      <c r="E13" s="42"/>
    </row>
    <row r="14" spans="2:7" ht="16.05" customHeight="1" outlineLevel="1">
      <c r="B14" s="144" t="s">
        <v>93</v>
      </c>
      <c r="C14" s="145"/>
      <c r="D14" s="100"/>
      <c r="E14" s="42"/>
    </row>
    <row r="15" spans="2:7" ht="16.05" customHeight="1" outlineLevel="2">
      <c r="B15" s="6" t="s">
        <v>96</v>
      </c>
      <c r="C15" s="119"/>
      <c r="D15" s="100"/>
      <c r="E15" s="42"/>
    </row>
    <row r="16" spans="2:7" ht="16.05" customHeight="1" outlineLevel="2">
      <c r="B16" s="6" t="s">
        <v>97</v>
      </c>
      <c r="C16" s="121">
        <v>3500</v>
      </c>
      <c r="D16" s="100"/>
      <c r="E16" s="42"/>
    </row>
    <row r="17" spans="2:5" ht="16.05" customHeight="1" outlineLevel="2">
      <c r="B17" s="6" t="s">
        <v>98</v>
      </c>
      <c r="C17" s="121"/>
      <c r="D17" s="100"/>
      <c r="E17" s="42"/>
    </row>
    <row r="18" spans="2:5" ht="16.05" customHeight="1" outlineLevel="2">
      <c r="B18" s="5" t="s">
        <v>89</v>
      </c>
      <c r="C18" s="120"/>
      <c r="D18" s="100"/>
      <c r="E18" s="42"/>
    </row>
    <row r="19" spans="2:5" ht="16.05" customHeight="1" outlineLevel="2">
      <c r="B19" s="5" t="s">
        <v>90</v>
      </c>
      <c r="C19" s="120">
        <v>1000</v>
      </c>
      <c r="D19" s="100"/>
      <c r="E19" s="42"/>
    </row>
    <row r="20" spans="2:5" ht="16.05" customHeight="1" outlineLevel="2">
      <c r="B20" s="5" t="s">
        <v>88</v>
      </c>
      <c r="C20" s="120"/>
      <c r="D20" s="100"/>
      <c r="E20" s="42"/>
    </row>
    <row r="21" spans="2:5" ht="16.05" customHeight="1" outlineLevel="2">
      <c r="B21" s="5" t="s">
        <v>68</v>
      </c>
      <c r="C21" s="122">
        <v>5.0000000000000001E-3</v>
      </c>
      <c r="D21" s="100"/>
      <c r="E21" s="42"/>
    </row>
    <row r="22" spans="2:5" ht="16.05" customHeight="1" outlineLevel="1">
      <c r="B22" s="6"/>
      <c r="C22" s="93"/>
      <c r="D22" s="100"/>
      <c r="E22" s="42"/>
    </row>
    <row r="23" spans="2:5" ht="16.05" customHeight="1" outlineLevel="1">
      <c r="B23" s="144" t="s">
        <v>20</v>
      </c>
      <c r="C23" s="145"/>
      <c r="D23" s="100"/>
      <c r="E23" s="42"/>
    </row>
    <row r="24" spans="2:5" ht="16.05" customHeight="1" outlineLevel="2">
      <c r="B24" s="6" t="s">
        <v>31</v>
      </c>
      <c r="C24" s="119">
        <v>232520</v>
      </c>
      <c r="D24" s="100"/>
      <c r="E24" s="42"/>
    </row>
    <row r="25" spans="2:5" ht="16.05" customHeight="1" outlineLevel="2">
      <c r="B25" s="5" t="s">
        <v>32</v>
      </c>
      <c r="C25" s="98">
        <f>C24*1%</f>
        <v>2325.2000000000003</v>
      </c>
      <c r="D25" s="100"/>
      <c r="E25" s="42"/>
    </row>
    <row r="26" spans="2:5" ht="16.05" customHeight="1" outlineLevel="2">
      <c r="B26" s="5" t="s">
        <v>18</v>
      </c>
      <c r="C26" s="98">
        <f>C24*0.5%</f>
        <v>1162.6000000000001</v>
      </c>
      <c r="D26" s="100"/>
    </row>
    <row r="27" spans="2:5" ht="16.05" customHeight="1" outlineLevel="2">
      <c r="B27" s="7" t="s">
        <v>33</v>
      </c>
      <c r="C27" s="97">
        <f>C12+C25+C26-C24</f>
        <v>3487.8000000000175</v>
      </c>
      <c r="D27" s="100"/>
      <c r="E27" s="45"/>
    </row>
    <row r="28" spans="2:5" ht="16.05" customHeight="1" outlineLevel="2">
      <c r="B28" s="5" t="s">
        <v>34</v>
      </c>
      <c r="C28" s="139" t="s">
        <v>118</v>
      </c>
      <c r="D28" s="100"/>
      <c r="E28" s="42"/>
    </row>
    <row r="29" spans="2:5" ht="16.05" customHeight="1" outlineLevel="2">
      <c r="B29" s="5" t="s">
        <v>35</v>
      </c>
      <c r="C29" s="125">
        <v>0.04</v>
      </c>
      <c r="D29" s="100"/>
      <c r="E29" s="42"/>
    </row>
    <row r="30" spans="2:5" ht="16.05" customHeight="1" outlineLevel="2">
      <c r="B30" s="5" t="s">
        <v>91</v>
      </c>
      <c r="C30" s="120">
        <v>50</v>
      </c>
      <c r="D30" s="100"/>
      <c r="E30" s="42"/>
    </row>
    <row r="31" spans="2:5" ht="16.05" customHeight="1" outlineLevel="2">
      <c r="B31" s="7" t="s">
        <v>36</v>
      </c>
      <c r="C31" s="97">
        <f ca="1">IFERROR(SUM(Echéancier!G9+C30),"")</f>
        <v>1277.3262210603918</v>
      </c>
      <c r="D31" s="100"/>
      <c r="E31" s="42"/>
    </row>
    <row r="32" spans="2:5" ht="16.05" customHeight="1" outlineLevel="2">
      <c r="B32" s="5" t="s">
        <v>38</v>
      </c>
      <c r="C32" s="96">
        <f ca="1">Echéancier!Total_des_intérêts</f>
        <v>135677.86631811754</v>
      </c>
      <c r="D32" s="100"/>
      <c r="E32" s="42"/>
    </row>
    <row r="33" spans="2:5" ht="16.05" customHeight="1" outlineLevel="2">
      <c r="B33" s="5" t="s">
        <v>51</v>
      </c>
      <c r="C33" s="96">
        <f>C12+C25+C26</f>
        <v>236007.80000000002</v>
      </c>
      <c r="D33" s="100"/>
      <c r="E33" s="42"/>
    </row>
    <row r="34" spans="2:5" ht="17" customHeight="1" outlineLevel="2">
      <c r="B34" s="5" t="s">
        <v>99</v>
      </c>
      <c r="C34" s="96" cm="1">
        <f t="array" ref="C34">IFERROR(_xlfn.IFS(C28="5",'Détails - Location nue'!F4,C28="10",'Détails - Location nue'!K4,Projet!C28="15",'Détails - Location nue'!P4,Projet!C28="20",'Détails - Location nue'!U4,Projet!C28="25",'Détails - Location nue'!Z4,Projet!C28="30",'Détails - Location nue'!AE4),"")</f>
        <v>246847.99098898016</v>
      </c>
      <c r="D34" s="100"/>
      <c r="E34" s="42"/>
    </row>
    <row r="35" spans="2:5" ht="17" customHeight="1" outlineLevel="1">
      <c r="B35" s="5"/>
      <c r="C35" s="89"/>
      <c r="D35" s="89"/>
      <c r="E35" s="42"/>
    </row>
    <row r="36" spans="2:5" ht="41" customHeight="1">
      <c r="B36" s="24" t="s">
        <v>103</v>
      </c>
      <c r="C36" s="93"/>
      <c r="D36" s="93"/>
      <c r="E36" s="42"/>
    </row>
    <row r="37" spans="2:5" ht="16.05" customHeight="1" outlineLevel="1">
      <c r="B37" s="43" t="s">
        <v>58</v>
      </c>
      <c r="C37" s="101"/>
      <c r="D37" s="101"/>
      <c r="E37" s="102">
        <f ca="1">IFERROR(MAX(C43:E43),"")</f>
        <v>-4.775942897672825E-3</v>
      </c>
    </row>
    <row r="38" spans="2:5" ht="16.05" hidden="1" customHeight="1" outlineLevel="2">
      <c r="B38" s="6" t="s">
        <v>95</v>
      </c>
      <c r="C38" s="146">
        <f>IFERROR(C15*12,"")</f>
        <v>0</v>
      </c>
      <c r="D38" s="146"/>
      <c r="E38" s="146"/>
    </row>
    <row r="39" spans="2:5" ht="16.05" hidden="1" customHeight="1" outlineLevel="2">
      <c r="B39" s="7" t="s">
        <v>100</v>
      </c>
      <c r="C39" s="41" t="s">
        <v>56</v>
      </c>
      <c r="D39" s="41" t="s">
        <v>101</v>
      </c>
      <c r="E39" s="41" t="s">
        <v>64</v>
      </c>
    </row>
    <row r="40" spans="2:5" ht="16.05" hidden="1" customHeight="1" outlineLevel="2">
      <c r="B40" s="5" t="s">
        <v>75</v>
      </c>
      <c r="C40" s="96" cm="1">
        <f t="array" aca="1" ref="C40" ca="1">IFERROR(_xlfn.IFS($C$28="5",AVERAGE('Détails - Location nue'!B26:F26),$C$28="10",AVERAGE('Détails - Location nue'!B26:K26),Projet!$C$28="15",AVERAGE('Détails - Location nue'!B26:P26),Projet!$C$28="20",AVERAGE('Détails - Location nue'!B26:U26),Projet!$C$28="25",AVERAGE('Détails - Location nue'!B26:Z26),Projet!$C$28="30",AVERAGE('Détails - Location nue'!B26:AE26)),"")</f>
        <v>-1365.8566044513375</v>
      </c>
      <c r="D40" s="96">
        <f ca="1">C40</f>
        <v>-1365.8566044513375</v>
      </c>
      <c r="E40" s="96" cm="1">
        <f t="array" aca="1" ref="E40" ca="1">IFERROR(_xlfn.IFS($C$28="5",AVERAGE('Détails - Location nue'!C30:L35),$C$28="10",AVERAGE('Détails - Location nue'!C35:L35),Projet!$C$28="15",AVERAGE('Détails - Location nue'!C35:Q35),Projet!$C$28="20",AVERAGE('Détails - Location nue'!C35:V35),Projet!$C$28="25",AVERAGE('Détails - Location nue'!C35:AA35),Projet!$C$28="30",AVERAGE('Détails - Location nue'!C35:AF35)),"")</f>
        <v>-1366.2992563682919</v>
      </c>
    </row>
    <row r="41" spans="2:5" ht="16.05" hidden="1" customHeight="1" outlineLevel="2">
      <c r="B41" s="5" t="s">
        <v>106</v>
      </c>
      <c r="C41" s="96">
        <f ca="1">IFERROR(C40*(C28*12)-(C27),"")</f>
        <v>-413244.78133540123</v>
      </c>
      <c r="D41" s="96">
        <f ca="1">C41</f>
        <v>-413244.78133540123</v>
      </c>
      <c r="E41" s="96">
        <f ca="1">IFERROR(E40*(C28*12)-(C27),"")</f>
        <v>-413377.57691048761</v>
      </c>
    </row>
    <row r="42" spans="2:5" ht="16.05" hidden="1" customHeight="1" outlineLevel="2">
      <c r="B42" s="5" t="s">
        <v>107</v>
      </c>
      <c r="C42" s="96" cm="1">
        <f t="array" aca="1" ref="C42" ca="1">IFERROR(_xlfn.IFS($C$28="5",'Détails - Location nue'!F24,Projet!$C$28="10",'Détails - Location nue'!K24,Projet!$C$28="15",'Détails - Location nue'!P24,Projet!$C$28="20",'Détails - Location nue'!U24,Projet!$C$28="25",'Détails - Location nue'!Z24,Projet!$C$28="30",'Détails - Location nue'!AE24),"")</f>
        <v>0</v>
      </c>
      <c r="D42" s="96">
        <f ca="1">C42</f>
        <v>0</v>
      </c>
      <c r="E42" s="96" cm="1">
        <f t="array" ref="E42">IFERROR(_xlfn.IFS($C$28="5",'Détails - Location nue'!F33,$C$28="10",'Détails - Location nue'!K33,Projet!$C$28="15",'Détails - Location nue'!P33,Projet!$C$28="20",'Détails - Location nue'!U33,Projet!$C$28="25",'Détails - Location nue'!Z33,Projet!$C$28="30",'Détails - Location nue'!AE33),"")</f>
        <v>0</v>
      </c>
    </row>
    <row r="43" spans="2:5" ht="16.05" hidden="1" customHeight="1" outlineLevel="2">
      <c r="B43" s="7" t="s">
        <v>57</v>
      </c>
      <c r="C43" s="113" cm="1">
        <f t="array" aca="1" ref="C43" ca="1">IFERROR(_xlfn.IFS($C$28="5",'Détails - Location nue'!F27,$C$28="10",'Détails - Location nue'!K27,Projet!C28="15",'Détails - Location nue'!P27,Projet!C28="20",'Détails - Location nue'!U27,Projet!C28="25",'Détails - Location nue'!Z27,Projet!C28="30",'Détails - Location nue'!AE27),"")</f>
        <v>-4.775942897672825E-3</v>
      </c>
      <c r="D43" s="113">
        <f ca="1">C43</f>
        <v>-4.775942897672825E-3</v>
      </c>
      <c r="E43" s="113" cm="1">
        <f t="array" ref="E43">IFERROR(_xlfn.IFS($C$28="5",'Détails - Location nue'!F36,$C$28="10",'Détails - Location nue'!K36,Projet!C28="15",'Détails - Location nue'!P36,Projet!C28="20",'Détails - Location nue'!U36,Projet!C28="25",'Détails - Location nue'!Z36,Projet!C28="30",'Détails - Location nue'!AE36),"")</f>
        <v>-4.775942897672825E-3</v>
      </c>
    </row>
    <row r="44" spans="2:5" ht="16.05" hidden="1" customHeight="1" outlineLevel="2">
      <c r="B44" s="6" t="s">
        <v>86</v>
      </c>
      <c r="C44" s="100">
        <f ca="1">IFERROR(C34+C41,"")</f>
        <v>-166396.79034642107</v>
      </c>
      <c r="D44" s="100">
        <f ca="1">C44</f>
        <v>-166396.79034642107</v>
      </c>
      <c r="E44" s="100">
        <f ca="1">IFERROR(C34+E41,"")</f>
        <v>-166529.58592150745</v>
      </c>
    </row>
    <row r="45" spans="2:5" ht="16.05" customHeight="1" outlineLevel="1" collapsed="1">
      <c r="B45" s="4"/>
      <c r="E45" s="42"/>
    </row>
    <row r="46" spans="2:5" ht="16.05" customHeight="1" outlineLevel="1">
      <c r="B46" s="43" t="s">
        <v>59</v>
      </c>
      <c r="C46" s="94"/>
      <c r="D46" s="94"/>
      <c r="E46" s="102">
        <f ca="1">IFERROR(MAX(C52:E52),"")</f>
        <v>0.17172826286408721</v>
      </c>
    </row>
    <row r="47" spans="2:5" ht="16.05" hidden="1" customHeight="1" outlineLevel="2">
      <c r="B47" s="6" t="s">
        <v>112</v>
      </c>
      <c r="C47" s="147">
        <f>C16*12</f>
        <v>42000</v>
      </c>
      <c r="D47" s="147"/>
      <c r="E47" s="147"/>
    </row>
    <row r="48" spans="2:5" ht="16.05" hidden="1" customHeight="1" outlineLevel="2">
      <c r="B48" s="7" t="s">
        <v>39</v>
      </c>
      <c r="C48" s="41" t="s">
        <v>56</v>
      </c>
      <c r="D48" s="41" t="s">
        <v>102</v>
      </c>
      <c r="E48" s="41" t="s">
        <v>84</v>
      </c>
    </row>
    <row r="49" spans="2:5" ht="16.05" hidden="1" customHeight="1" outlineLevel="2">
      <c r="B49" s="5" t="s">
        <v>62</v>
      </c>
      <c r="C49" s="96" cm="1">
        <f t="array" aca="1" ref="C49" ca="1">IFERROR(_xlfn.IFS($C$28="5",AVERAGE('Détails - Location meublée'!B22:K27),$C$28="10",AVERAGE('Détails - Location meublée'!B27:K27),Projet!$C$28="15",AVERAGE('Détails - Location meublée'!B27:P27),Projet!$C$28="20",AVERAGE('Détails - Location meublée'!B27:U27),Projet!$C$28="25",AVERAGE('Détails - Location meublée'!B27:Z27),Projet!$C$28="30",AVERAGE('Détails - Location meublée'!B27:AE27)),"")</f>
        <v>1503.9719585441042</v>
      </c>
      <c r="D49" s="96" cm="1">
        <f t="array" aca="1" ref="D49" ca="1">IFERROR(_xlfn.IFS($C$28="5",AVERAGE('Détails - Location meublée'!B37:F37),$C$28="10",AVERAGE('Détails - Location meublée'!B37:K37),Projet!$C$28="15",AVERAGE('Détails - Location meublée'!B37:P37),Projet!$C$28="20",AVERAGE('Détails - Location meublée'!B37:U37),Projet!$C$28="25",AVERAGE('Détails - Location meublée'!B37:Z37),Projet!$C$28="30",AVERAGE('Détails - Location meublée'!B37:AE37)),"")</f>
        <v>1763.2348395085576</v>
      </c>
      <c r="E49" s="96" cm="1">
        <f t="array" aca="1" ref="E49" ca="1">IFERROR(_xlfn.IFS($C$28="5",AVERAGE('Détails - Location meublée'!C41:L46),$C$28="10",AVERAGE('Détails - Location meublée'!C46:L46),Projet!$C$28="15",AVERAGE('Détails - Location meublée'!C46:Q46),Projet!$C$28="20",AVERAGE('Détails - Location meublée'!C46:V46),Projet!$C$28="25",AVERAGE('Détails - Location meublée'!C46:AA46),Projet!$C$28="30",AVERAGE('Détails - Location meublée'!C46:AF46)),"")</f>
        <v>1656.8265373235472</v>
      </c>
    </row>
    <row r="50" spans="2:5" ht="16.05" hidden="1" customHeight="1" outlineLevel="2">
      <c r="B50" s="5" t="s">
        <v>79</v>
      </c>
      <c r="C50" s="96">
        <f ca="1">IFERROR(C49*($C$28*12)-($C$27),"")</f>
        <v>447703.78756323119</v>
      </c>
      <c r="D50" s="96">
        <f ca="1">IFERROR(D49*($C$28*12)-($C$27),"")</f>
        <v>525482.65185256721</v>
      </c>
      <c r="E50" s="96">
        <f ca="1">IFERROR(E49*(C28*12)-(C27),"")</f>
        <v>493560.1611970641</v>
      </c>
    </row>
    <row r="51" spans="2:5" ht="16.05" hidden="1" customHeight="1" outlineLevel="2">
      <c r="B51" s="5" t="s">
        <v>76</v>
      </c>
      <c r="C51" s="96" cm="1">
        <f t="array" aca="1" ref="C51" ca="1">IFERROR(_xlfn.IFS($C$28="5",'Détails - Location meublée'!F25,$C$28="10",'Détails - Location meublée'!K25,Projet!$C$28="15",'Détails - Location meublée'!P25,Projet!$C$28="20",'Détails - Location meublée'!U25,Projet!$C$28="25",'Détails - Location meublée'!Z25,Projet!$C$28="30",'Détails - Location meublée'!AE25),"")</f>
        <v>194377.86631313537</v>
      </c>
      <c r="D51" s="96" cm="1">
        <f t="array" aca="1" ref="D51" ca="1">IFERROR(_xlfn.IFS($C$28="5",'Détails - Location meublée'!F35,$C$28="10",'Détails - Location meublée'!K35,Projet!$C$28="15",'Détails - Location meublée'!P35,Projet!$C$28="20",'Détails - Location meublée'!U35,Projet!$C$28="25",'Détails - Location meublée'!Z35,Projet!$C$28="30",'Détails - Location meublée'!AE35),"")</f>
        <v>101061.91973868835</v>
      </c>
      <c r="E51" s="96" cm="1">
        <f t="array" ref="E51">IFERROR(_xlfn.IFS($C$28="5",'Détails - Location meublée'!F44,$C$28="10",'Détails - Location meublée'!K44,Projet!$C$28="15",'Détails - Location meublée'!P44,Projet!$C$28="20",'Détails - Location meublée'!U44,Projet!$C$28="25",'Détails - Location meublée'!Z44,Projet!$C$28="30",'Détails - Location meublée'!AE44),"")</f>
        <v>157283.07913235406</v>
      </c>
    </row>
    <row r="52" spans="2:5" ht="16.05" hidden="1" customHeight="1" outlineLevel="2">
      <c r="B52" s="7" t="s">
        <v>57</v>
      </c>
      <c r="C52" s="113" cm="1">
        <f t="array" aca="1" ref="C52" ca="1">IFERROR(_xlfn.IFS($C$28="5",'Détails - Location meublée'!F29,$C$28="10",'Détails - Location meublée'!K29,Projet!C28="15",'Détails - Location meublée'!P29,Projet!C28="20",'Détails - Location meublée'!U29,Projet!C28="25",'Détails - Location meublée'!Z29,Projet!C28="30",'Détails - Location meublée'!AE29),"")</f>
        <v>0.14141726737528992</v>
      </c>
      <c r="D52" s="113" cm="1">
        <f t="array" ref="D52">IFERROR(_xlfn.IFS($C$28="5",'Détails - Location meublée'!F39,$C$28="10",'Détails - Location meublée'!K39,Projet!C28="15",'Détails - Location meublée'!P39,Projet!C28="20",'Détails - Location meublée'!U39,Projet!C28="25",'Détails - Location meublée'!Z39,Projet!C28="41",'Détails - Location meublée'!AE39),"")</f>
        <v>0.17172826286408721</v>
      </c>
      <c r="E52" s="113" cm="1">
        <f t="array" ref="E52">IFERROR(_xlfn.IFS($C$28="5",'Détails - Location meublée'!F48,$C$28="10",'Détails - Location meublée'!K48,Projet!C28="15",'Détails - Location meublée'!P48,Projet!C28="20",'Détails - Location meublée'!U48,Projet!C28="25",'Détails - Location meublée'!Z48,Projet!C28="30",'Détails - Location meublée'!AE48),"")</f>
        <v>0.14844704201132028</v>
      </c>
    </row>
    <row r="53" spans="2:5" ht="16.05" hidden="1" customHeight="1" outlineLevel="2">
      <c r="B53" s="6" t="s">
        <v>86</v>
      </c>
      <c r="C53" s="100">
        <f ca="1">IFERROR($C$34+C50,"")</f>
        <v>694551.77855221136</v>
      </c>
      <c r="D53" s="100">
        <f ca="1">IFERROR($C$34+D50,"")</f>
        <v>772330.64284154738</v>
      </c>
      <c r="E53" s="100">
        <f ca="1">IFERROR(C34+E50,"")</f>
        <v>740408.15218604426</v>
      </c>
    </row>
    <row r="54" spans="2:5" ht="16.05" customHeight="1" outlineLevel="1" collapsed="1">
      <c r="B54" s="8"/>
      <c r="C54" s="86"/>
      <c r="D54" s="86"/>
      <c r="E54" s="87"/>
    </row>
    <row r="55" spans="2:5" ht="16.05" customHeight="1" outlineLevel="1">
      <c r="B55" s="43" t="s">
        <v>94</v>
      </c>
      <c r="C55" s="94"/>
      <c r="D55" s="116"/>
      <c r="E55" s="102">
        <f ca="1">IFERROR(MAX(C64:E64),"")</f>
        <v>-4.5013961432264025E-3</v>
      </c>
    </row>
    <row r="56" spans="2:5" ht="16.05" hidden="1" customHeight="1" outlineLevel="2">
      <c r="B56" s="6" t="s">
        <v>60</v>
      </c>
      <c r="C56" s="148">
        <f>C17</f>
        <v>0</v>
      </c>
      <c r="D56" s="148"/>
      <c r="E56" s="148"/>
    </row>
    <row r="57" spans="2:5" ht="16.05" hidden="1" customHeight="1" outlineLevel="2">
      <c r="B57" s="6" t="s">
        <v>61</v>
      </c>
      <c r="C57" s="143">
        <v>0.6</v>
      </c>
      <c r="D57" s="143"/>
      <c r="E57" s="143"/>
    </row>
    <row r="58" spans="2:5" ht="16.05" hidden="1" customHeight="1" outlineLevel="2">
      <c r="B58" s="6" t="s">
        <v>92</v>
      </c>
      <c r="C58" s="143">
        <v>0.1</v>
      </c>
      <c r="D58" s="143"/>
      <c r="E58" s="143"/>
    </row>
    <row r="59" spans="2:5" ht="16.05" hidden="1" customHeight="1" outlineLevel="2">
      <c r="B59" s="6" t="s">
        <v>112</v>
      </c>
      <c r="D59" s="114"/>
      <c r="E59" s="115">
        <f>(C56*360)*C57</f>
        <v>0</v>
      </c>
    </row>
    <row r="60" spans="2:5" ht="16.05" hidden="1" customHeight="1" outlineLevel="2">
      <c r="B60" s="7" t="s">
        <v>39</v>
      </c>
      <c r="C60" s="41" t="s">
        <v>56</v>
      </c>
      <c r="D60" s="41" t="s">
        <v>102</v>
      </c>
      <c r="E60" s="41" t="s">
        <v>84</v>
      </c>
    </row>
    <row r="61" spans="2:5" ht="16.05" hidden="1" customHeight="1" outlineLevel="2">
      <c r="B61" s="5" t="s">
        <v>63</v>
      </c>
      <c r="C61" s="96" cm="1">
        <f t="array" aca="1" ref="C61" ca="1">IFERROR(_xlfn.IFS($C$28="5",AVERAGE('Détails - Location meublée (CD)'!B27:F27),$C$28="10",AVERAGE('Détails - Location meublée (CD)'!B27:K27),Projet!$C$28="15",AVERAGE('Détails - Location meublée (CD)'!B27:P27),Projet!$C$28="20",AVERAGE('Détails - Location meublée (CD)'!B27:U27),Projet!$C$28="25",AVERAGE('Détails - Location meublée (CD)'!B27:Z27),Projet!$C$28="30",AVERAGE('Détails - Location meublée (CD)'!B27:AE27)),"")</f>
        <v>-1380.4641177108435</v>
      </c>
      <c r="D61" s="96" cm="1">
        <f t="array" aca="1" ref="D61" ca="1">IFERROR(_xlfn.IFS($C$28="5",AVERAGE('Détails - Location meublée (CD)'!B37:F37),$C$28="10",AVERAGE('Détails - Location meublée (CD)'!B37:K37),Projet!$C$28="15",AVERAGE('Détails - Location meublée (CD)'!B37:P37),Projet!$C$28="20",AVERAGE('Détails - Location meublée (CD)'!B37:U37),Projet!$C$28="25",AVERAGE('Détails - Location meublée (CD)'!B37:Z37),Projet!$C$28="30",AVERAGE('Détails - Location meublée (CD)'!B37:AE37)),"")</f>
        <v>-1432.2543919945469</v>
      </c>
      <c r="E61" s="96" cm="1">
        <f t="array" aca="1" ref="E61" ca="1">IFERROR(_xlfn.IFS($C$28="5",AVERAGE('Détails - Location meublée (CD)'!C41:L46),$C$28="10",AVERAGE('Détails - Location meublée (CD)'!C46:L46),Projet!$C$28="15",AVERAGE('Détails - Location meublée (CD)'!C46:Q46),Projet!$C$28="20",AVERAGE('Détails - Location meublée (CD)'!C46:V46),Projet!$C$28="25",AVERAGE('Détails - Location meublée (CD)'!C46:AA46),Projet!$C$28="30",AVERAGE('Détails - Location meublée (CD)'!C46:AF46)),"")</f>
        <v>-1366.2992563682919</v>
      </c>
    </row>
    <row r="62" spans="2:5" ht="16.05" hidden="1" customHeight="1" outlineLevel="2">
      <c r="B62" s="5" t="s">
        <v>79</v>
      </c>
      <c r="C62" s="96">
        <f ca="1">IFERROR(C61*($C$28*12)-($C$27),"")</f>
        <v>-417627.03531325306</v>
      </c>
      <c r="D62" s="96">
        <f ca="1">IFERROR(D61*($C$28*12)-($C$27),"")</f>
        <v>-433164.11759836413</v>
      </c>
      <c r="E62" s="96">
        <f ca="1">IFERROR(E61*(C28*12)-(C27),"")</f>
        <v>-413377.57691048761</v>
      </c>
    </row>
    <row r="63" spans="2:5" ht="16.05" hidden="1" customHeight="1" outlineLevel="2">
      <c r="B63" s="5" t="s">
        <v>76</v>
      </c>
      <c r="C63" s="96" cm="1">
        <f t="array" aca="1" ref="C63" ca="1">IFERROR(_xlfn.IFS($C$28="5",'Détails - Location meublée (CD)'!F25,$C$28="10",'Détails - Location meublée (CD)'!K25,Projet!$C$28="15",'Détails - Location meublée (CD)'!P25,Projet!$C$28="20",'Détails - Location meublée (CD)'!U25,Projet!$C$28="25",'Détails - Location meublée (CD)'!Z25,Projet!$C$28="30",'Détails - Location meublée (CD)'!AE25),"")</f>
        <v>0</v>
      </c>
      <c r="D63" s="96" cm="1">
        <f t="array" aca="1" ref="D63" ca="1">IFERROR(_xlfn.IFS($C$28="5",'Détails - Location meublée (CD)'!F35,$C$28="10",'Détails - Location meublée (CD)'!K35,Projet!$C$28="15",'Détails - Location meublée (CD)'!P35,Projet!$C$28="20",'Détails - Location meublée (CD)'!U35,Projet!$C$28="25",'Détails - Location meublée (CD)'!Z35,Projet!$C$28="30",'Détails - Location meublée (CD)'!AE35),"")</f>
        <v>0</v>
      </c>
      <c r="E63" s="96" cm="1">
        <f t="array" ref="E63">IFERROR(_xlfn.IFS($C$28="5",'Détails - Location meublée (CD)'!F44,$C$28="10",'Détails - Location meublée (CD)'!K44,Projet!$C$28="15",'Détails - Location meublée (CD)'!P44,Projet!$C$28="20",'Détails - Location meublée (CD)'!U44,Projet!$C$28="25",'Détails - Location meublée (CD)'!Z44,Projet!$C$28="30",'Détails - Location meublée (CD)'!AE44),"")</f>
        <v>0</v>
      </c>
    </row>
    <row r="64" spans="2:5" ht="16.05" hidden="1" customHeight="1" outlineLevel="2">
      <c r="B64" s="7" t="s">
        <v>57</v>
      </c>
      <c r="C64" s="113" cm="1">
        <f t="array" aca="1" ref="C64" ca="1">IFERROR(_xlfn.IFS($C$28="5",'Détails - Location meublée (CD)'!F29,$C$28="10",'Détails - Location meublée (CD)'!K29,Projet!C28="15",'Détails - Location meublée (CD)'!P29,Projet!C28="20",'Détails - Location meublée (CD)'!U29,Projet!C28="25",'Détails - Location meublée (CD)'!Z29,Projet!C28="30",'Détails - Location meublée (CD)'!AE29),"")</f>
        <v>-5.2441265068587598E-3</v>
      </c>
      <c r="D64" s="113" cm="1">
        <f t="array" ref="D64">IFERROR(_xlfn.IFS($C$28="5",'Détails - Location meublée (CD)'!F39,$C$28="10",'Détails - Location meublée (CD)'!K39,Projet!C28="15",'Détails - Location meublée (CD)'!P39,Projet!C28="20",'Détails - Location meublée (CD)'!U39,Projet!C28="25",'Détails - Location meublée (CD)'!Z39,Projet!C28="41",'Détails - Location meublée (CD)'!AE39),"")</f>
        <v>-7.877443250646203E-3</v>
      </c>
      <c r="E64" s="113" cm="1">
        <f t="array" ref="E64">IFERROR(_xlfn.IFS($C$28="5",'Détails - Location meublée (CD)'!F48,$C$28="10",'Détails - Location meublée (CD)'!K48,Projet!C28="15",'Détails - Location meublée (CD)'!P48,Projet!C28="20",'Détails - Location meublée (CD)'!U48,Projet!C28="25",'Détails - Location meublée (CD)'!Z48,Projet!C28="30",'Détails - Location meublée (CD)'!AE48),"")</f>
        <v>-4.5013961432264025E-3</v>
      </c>
    </row>
    <row r="65" spans="2:5" ht="16.05" hidden="1" customHeight="1" outlineLevel="2">
      <c r="B65" s="6" t="s">
        <v>86</v>
      </c>
      <c r="C65" s="100">
        <f ca="1">IFERROR($C$34+C62,"")</f>
        <v>-170779.04432427289</v>
      </c>
      <c r="D65" s="100">
        <f ca="1">IFERROR($C$34+D62,"")</f>
        <v>-186316.12660938397</v>
      </c>
      <c r="E65" s="100">
        <f ca="1">IFERROR(C34+E62,"")</f>
        <v>-166529.58592150745</v>
      </c>
    </row>
    <row r="66" spans="2:5" ht="16.05" customHeight="1" outlineLevel="1" collapsed="1"/>
    <row r="67" spans="2:5" ht="17" customHeight="1">
      <c r="B67" s="5"/>
    </row>
    <row r="68" spans="2:5" s="126" customFormat="1" ht="48" customHeight="1">
      <c r="B68" s="140" t="s">
        <v>115</v>
      </c>
      <c r="C68" s="141"/>
      <c r="D68" s="141"/>
      <c r="E68" s="142"/>
    </row>
    <row r="69" spans="2:5" s="126" customFormat="1" ht="16.05" customHeight="1">
      <c r="B69" s="127" t="s">
        <v>116</v>
      </c>
      <c r="C69" s="131"/>
      <c r="D69" s="131"/>
      <c r="E69" s="132"/>
    </row>
    <row r="70" spans="2:5" s="126" customFormat="1" ht="16.05" customHeight="1">
      <c r="B70" s="133"/>
      <c r="C70" s="131"/>
      <c r="D70" s="131"/>
      <c r="E70" s="132"/>
    </row>
    <row r="71" spans="2:5" ht="17" customHeight="1">
      <c r="B71" s="127" t="s">
        <v>114</v>
      </c>
      <c r="C71" s="134"/>
      <c r="D71" s="134"/>
      <c r="E71" s="135"/>
    </row>
    <row r="72" spans="2:5" ht="17" customHeight="1">
      <c r="B72" s="128"/>
      <c r="C72" s="129"/>
      <c r="D72" s="129"/>
      <c r="E72" s="130"/>
    </row>
    <row r="73" spans="2:5" ht="17" customHeight="1"/>
    <row r="74" spans="2:5" ht="17" customHeight="1">
      <c r="B74" s="5"/>
    </row>
    <row r="75" spans="2:5" ht="17" customHeight="1">
      <c r="B75" s="5"/>
    </row>
    <row r="76" spans="2:5" ht="17" customHeight="1">
      <c r="B76" s="5"/>
    </row>
    <row r="77" spans="2:5" ht="17" customHeight="1">
      <c r="B77" s="5"/>
    </row>
    <row r="78" spans="2:5" ht="17" customHeight="1">
      <c r="B78" s="4"/>
    </row>
    <row r="79" spans="2:5" ht="17" customHeight="1">
      <c r="B79" s="4"/>
      <c r="E79" s="42"/>
    </row>
    <row r="80" spans="2:5" ht="17" customHeight="1"/>
    <row r="81" spans="2:6" ht="17" customHeight="1">
      <c r="B81" s="5"/>
    </row>
    <row r="82" spans="2:6" ht="17" customHeight="1">
      <c r="B82" s="5"/>
    </row>
    <row r="83" spans="2:6" ht="17" customHeight="1">
      <c r="B83" s="5"/>
    </row>
    <row r="84" spans="2:6" ht="17" customHeight="1">
      <c r="B84" s="5"/>
    </row>
    <row r="85" spans="2:6" ht="17" customHeight="1"/>
    <row r="86" spans="2:6" ht="17" customHeight="1">
      <c r="B86" s="5"/>
    </row>
    <row r="87" spans="2:6" ht="17" customHeight="1">
      <c r="B87" s="5"/>
    </row>
    <row r="88" spans="2:6" ht="17" customHeight="1">
      <c r="B88" s="5"/>
      <c r="F88" s="2" t="s">
        <v>37</v>
      </c>
    </row>
    <row r="89" spans="2:6" ht="17" customHeight="1">
      <c r="B89" s="5"/>
    </row>
    <row r="90" spans="2:6" ht="17" customHeight="1">
      <c r="B90" s="5"/>
    </row>
    <row r="91" spans="2:6" ht="17" customHeight="1">
      <c r="B91" s="5"/>
    </row>
    <row r="92" spans="2:6" ht="17" customHeight="1">
      <c r="B92" s="5"/>
    </row>
    <row r="93" spans="2:6" ht="17" customHeight="1">
      <c r="E93" s="90"/>
    </row>
    <row r="94" spans="2:6" ht="17" customHeight="1"/>
    <row r="106" spans="3:4" ht="17" customHeight="1">
      <c r="C106" s="95"/>
      <c r="D106" s="95"/>
    </row>
  </sheetData>
  <dataConsolidate/>
  <mergeCells count="9">
    <mergeCell ref="B68:E68"/>
    <mergeCell ref="C58:E58"/>
    <mergeCell ref="B3:C3"/>
    <mergeCell ref="C38:E38"/>
    <mergeCell ref="C47:E47"/>
    <mergeCell ref="C56:E56"/>
    <mergeCell ref="C57:E57"/>
    <mergeCell ref="B14:C14"/>
    <mergeCell ref="B23:C23"/>
  </mergeCells>
  <conditionalFormatting sqref="C49:E49">
    <cfRule type="cellIs" dxfId="50" priority="1" operator="greaterThan">
      <formula>0</formula>
    </cfRule>
  </conditionalFormatting>
  <conditionalFormatting sqref="C49:E50">
    <cfRule type="cellIs" dxfId="49" priority="7" operator="lessThan">
      <formula>0</formula>
    </cfRule>
  </conditionalFormatting>
  <conditionalFormatting sqref="C61:E62">
    <cfRule type="cellIs" dxfId="48" priority="2" operator="lessThan">
      <formula>0</formula>
    </cfRule>
    <cfRule type="cellIs" dxfId="47" priority="3" operator="greaterThan">
      <formula>0</formula>
    </cfRule>
  </conditionalFormatting>
  <conditionalFormatting sqref="E27 C40:E41">
    <cfRule type="cellIs" dxfId="46" priority="13" operator="lessThan">
      <formula>0</formula>
    </cfRule>
  </conditionalFormatting>
  <dataValidations count="22">
    <dataValidation allowBlank="1" showInputMessage="1" showErrorMessage="1" prompt="Indiquez dans cette cellule le prix d'achat hors frais d'agence_x000a__x000a__x000a_" sqref="C8" xr:uid="{97EC4B64-FF42-DB4D-B2B2-4CA524C6BB1F}"/>
    <dataValidation allowBlank="1" showInputMessage="1" showErrorMessage="1" prompt="Ne rien indiquez dans cette celulle_x000a_" sqref="C11" xr:uid="{2FDA7C61-20AB-E149-8A21-AEAC7EAA2F8E}"/>
    <dataValidation allowBlank="1" showInputMessage="1" showErrorMessage="1" prompt="Indiquez dans cette cellule le montant des frais d'agence_x000a_" sqref="C9" xr:uid="{BBCC8FBC-D710-5545-B206-A3B10D6B04A0}"/>
    <dataValidation allowBlank="1" showInputMessage="1" showErrorMessage="1" prompt="Ne rien indiquez dans cette cellule_x000a_" sqref="C12:C13" xr:uid="{D968B458-CB3A-134C-9999-77F99D03A9B1}"/>
    <dataValidation allowBlank="1" showInputMessage="1" showErrorMessage="1" prompt="Indiquez dans cette cellule le montant des travaux à réaliser_x000a_" sqref="C10" xr:uid="{1F44EBAB-8DC5-A540-8D13-ADF96E98C23E}"/>
    <dataValidation type="list" allowBlank="1" showInputMessage="1" showErrorMessage="1" prompt="Selectionnez votre tranche marginale d'imposition _x000a_" sqref="C4" xr:uid="{5FAF49BB-2F76-F64A-836A-85A2638A0E1A}">
      <formula1>"0%, 11% , 30% , 41% , 45%"</formula1>
    </dataValidation>
    <dataValidation type="list" allowBlank="1" showInputMessage="1" showErrorMessage="1" prompt="Indiquez si vous souhaitez prendre une garantie contre les loyers impayés ? (5% du loyer CC)" sqref="C5" xr:uid="{DD6D1936-A7B9-EE48-A50E-C8C1B0886A90}">
      <formula1>"Oui , Non"</formula1>
    </dataValidation>
    <dataValidation allowBlank="1" showInputMessage="1" showErrorMessage="1" prompt="Indiquez dans cette cellule les charges annuelles de copropriété estimées_x000a_" sqref="C18" xr:uid="{DEE8C3FF-CE9F-CA4C-B1F9-0E00AC1537C7}"/>
    <dataValidation allowBlank="1" showInputMessage="1" showErrorMessage="1" prompt="Indiquez dans cette cellule le montant de la Taxe foncière pour votre logement_x000a_" sqref="C19" xr:uid="{16217388-85B9-F84C-AB0C-9A15BD9FB84E}"/>
    <dataValidation allowBlank="1" showInputMessage="1" showErrorMessage="1" prompt="Indiquez dans cette cellule le montant de l'assurance habitation propriétaire non occupant_x000a_" sqref="C20" xr:uid="{A1CD61BE-F06D-7D4B-AED3-3AF4CF244047}"/>
    <dataValidation allowBlank="1" showInputMessage="1" showErrorMessage="1" prompt="Indiquez dans cette cellule le montant que vous souhaitez emprunter" sqref="C24" xr:uid="{38D315E8-D525-A047-9757-CE773BCB39DB}"/>
    <dataValidation allowBlank="1" showInputMessage="1" showErrorMessage="1" prompt="Les frais de garantie sont caclulés automatiquement. Ne rien indiquez sauf si vous disposez déjà d'un plan de financement_x000a_" sqref="C25" xr:uid="{B822F876-9D25-414A-BAAE-DFE1B950D703}"/>
    <dataValidation allowBlank="1" showInputMessage="1" showErrorMessage="1" prompt="Les frais de dossiers sont estimés automatiquement. Ne rien indiquez sauf si vous disposez déjà d'un plan de financement" sqref="C26" xr:uid="{3873B309-2E75-A449-8848-D5ABB26CC181}"/>
    <dataValidation allowBlank="1" showInputMessage="1" showErrorMessage="1" prompt="Ne rien indiquez dans cette celulle. L'apport requis est calculé en fonction du montant emprunté." sqref="C27" xr:uid="{364D7B8A-D82C-194E-8850-E2375790929C}"/>
    <dataValidation type="list" allowBlank="1" showInputMessage="1" showErrorMessage="1" sqref="C28" xr:uid="{AAEE44A5-9FCC-A34D-9921-926AE2AF7625}">
      <formula1>"5,10,15,20,25,30"</formula1>
    </dataValidation>
    <dataValidation type="list" allowBlank="1" showInputMessage="1" showErrorMessage="1" sqref="C57:E57" xr:uid="{C252320A-4C6E-4940-8D20-F2AB6DB9E124}">
      <formula1>"30%,40%,50%,60%,70%,80%,90%,100%"</formula1>
    </dataValidation>
    <dataValidation type="list" allowBlank="1" showInputMessage="1" showErrorMessage="1" sqref="E58 C58 D58" xr:uid="{94019EBA-800A-3744-9A2D-89555475AF21}">
      <formula1>"0%,10%,20%,30%"</formula1>
    </dataValidation>
    <dataValidation allowBlank="1" showInputMessage="1" showErrorMessage="1" prompt="Pour de la location nue ou meublée, indiquez le loyer mensuel charges comprises. Pour de la location courte durée, indiquez le prix à la nuit" sqref="C15:C17" xr:uid="{18B25D85-F2C9-4147-A3D5-0BB889E086C1}"/>
    <dataValidation type="list" allowBlank="1" showInputMessage="1" showErrorMessage="1" prompt="Indiquez dans cette cellule le taux de revalorisation annuelle de vos charges subissant l'inflation, de vos revenus et de votre actif" sqref="C21" xr:uid="{55B7F95C-DBA5-E34A-9124-83FEC7E03293}">
      <mc:AlternateContent xmlns:x12ac="http://schemas.microsoft.com/office/spreadsheetml/2011/1/ac" xmlns:mc="http://schemas.openxmlformats.org/markup-compatibility/2006">
        <mc:Choice Requires="x12ac">
          <x12ac:list>0%,"0,5%",1%,"1,5%",2%,"2,5%",3%</x12ac:list>
        </mc:Choice>
        <mc:Fallback>
          <formula1>"0%,0,5%,1%,1,5%,2%,2,5%,3%"</formula1>
        </mc:Fallback>
      </mc:AlternateContent>
    </dataValidation>
    <dataValidation allowBlank="1" showErrorMessage="1" prompt="_x000a__x000a_" sqref="D4:D34" xr:uid="{BB07587E-607E-2E49-B9D4-CBD96A7F45A5}"/>
    <dataValidation allowBlank="1" showInputMessage="1" showErrorMessage="1" prompt="Ne rien indiquez dans cette cellule" sqref="C31 C32 C33 C34 E59" xr:uid="{732D1AB0-182F-F54E-8CE4-D898D67D669A}"/>
    <dataValidation allowBlank="1" showInputMessage="1" showErrorMessage="1" prompt="Uniquement si les recettes &lt;15000€" sqref="E39" xr:uid="{C63E828A-CE65-A946-B500-1DF218AD57AB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1148-48CB-8144-AC61-3B28BDE83D4C}">
  <sheetPr codeName="Feuil2">
    <tabColor theme="6"/>
    <pageSetUpPr fitToPage="1"/>
  </sheetPr>
  <dimension ref="A1:AE78"/>
  <sheetViews>
    <sheetView showGridLines="0" tabSelected="1" topLeftCell="A11" zoomScaleNormal="100" workbookViewId="0">
      <pane xSplit="1" topLeftCell="B1" activePane="topRight" state="frozen"/>
      <selection pane="topRight" activeCell="A39" sqref="A39"/>
    </sheetView>
  </sheetViews>
  <sheetFormatPr baseColWidth="10" defaultColWidth="9" defaultRowHeight="17" customHeight="1"/>
  <cols>
    <col min="1" max="1" width="57.5" style="85" customWidth="1"/>
    <col min="2" max="6" width="17.8125" style="61" customWidth="1"/>
    <col min="7" max="7" width="17.8125" style="62" customWidth="1"/>
    <col min="8" max="31" width="17.8125" style="61" customWidth="1"/>
    <col min="32" max="32" width="16.6875" style="23" customWidth="1"/>
    <col min="33" max="16384" width="9" style="23"/>
  </cols>
  <sheetData>
    <row r="1" spans="1:31" s="26" customFormat="1" ht="41" customHeight="1">
      <c r="A1" s="82" t="s">
        <v>47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s="81" customFormat="1" ht="16.05" customHeight="1">
      <c r="A2" s="30" t="s">
        <v>67</v>
      </c>
      <c r="B2" s="48">
        <v>1</v>
      </c>
      <c r="C2" s="48">
        <f>B2+1</f>
        <v>2</v>
      </c>
      <c r="D2" s="48">
        <f>C2+1</f>
        <v>3</v>
      </c>
      <c r="E2" s="48">
        <f t="shared" ref="E2:AE2" si="0">D2+1</f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</row>
    <row r="3" spans="1:31" s="81" customFormat="1" ht="16.05" customHeight="1">
      <c r="A3" s="34" t="s">
        <v>51</v>
      </c>
      <c r="B3" s="49">
        <f>Projet!C12+Projet!C25+Projet!C26</f>
        <v>236007.80000000002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5" customFormat="1" ht="16.05" customHeight="1">
      <c r="A4" s="32" t="s">
        <v>70</v>
      </c>
      <c r="B4" s="51">
        <f>Prix_d_achat+Projet!C10</f>
        <v>219000</v>
      </c>
      <c r="C4" s="51">
        <f>B4*(1+Projet!$C$21)</f>
        <v>220094.99999999997</v>
      </c>
      <c r="D4" s="51">
        <f>C4*(1+Projet!$C$21)</f>
        <v>221195.47499999995</v>
      </c>
      <c r="E4" s="51">
        <f>D4*(1+Projet!$C$21)</f>
        <v>222301.45237499994</v>
      </c>
      <c r="F4" s="51">
        <f>E4*(1+Projet!$C$21)</f>
        <v>223412.9596368749</v>
      </c>
      <c r="G4" s="51">
        <f>F4*(1+Projet!$C$21)</f>
        <v>224530.02443505925</v>
      </c>
      <c r="H4" s="51">
        <f>G4*(1+Projet!$C$21)</f>
        <v>225652.67455723454</v>
      </c>
      <c r="I4" s="51">
        <f>H4*(1+Projet!$C$21)</f>
        <v>226780.93793002068</v>
      </c>
      <c r="J4" s="51">
        <f>I4*(1+Projet!$C$21)</f>
        <v>227914.84261967076</v>
      </c>
      <c r="K4" s="51">
        <f>J4*(1+Projet!$C$21)</f>
        <v>229054.41683276909</v>
      </c>
      <c r="L4" s="51">
        <f>K4*(1+Projet!$C$21)</f>
        <v>230199.68891693291</v>
      </c>
      <c r="M4" s="51">
        <f>L4*(1+Projet!$C$21)</f>
        <v>231350.68736151754</v>
      </c>
      <c r="N4" s="51">
        <f>M4*(1+Projet!$C$21)</f>
        <v>232507.44079832511</v>
      </c>
      <c r="O4" s="51">
        <f>N4*(1+Projet!$C$21)</f>
        <v>233669.97800231673</v>
      </c>
      <c r="P4" s="51">
        <f>O4*(1+Projet!$C$21)</f>
        <v>234838.32789232829</v>
      </c>
      <c r="Q4" s="51">
        <f>P4*(1+Projet!$C$21)</f>
        <v>236012.51953178991</v>
      </c>
      <c r="R4" s="51">
        <f>Q4*(1+Projet!$C$21)</f>
        <v>237192.58212944883</v>
      </c>
      <c r="S4" s="51">
        <f>R4*(1+Projet!$C$21)</f>
        <v>238378.54504009604</v>
      </c>
      <c r="T4" s="51">
        <f>S4*(1+Projet!$C$21)</f>
        <v>239570.43776529649</v>
      </c>
      <c r="U4" s="51">
        <f>T4*(1+Projet!$C$21)</f>
        <v>240768.28995412294</v>
      </c>
      <c r="V4" s="51">
        <f>U4*(1+Projet!$C$21)</f>
        <v>241972.13140389352</v>
      </c>
      <c r="W4" s="51">
        <f>V4*(1+Projet!$C$21)</f>
        <v>243181.99206091298</v>
      </c>
      <c r="X4" s="51">
        <f>W4*(1+Projet!$C$21)</f>
        <v>244397.90202121751</v>
      </c>
      <c r="Y4" s="51">
        <f>X4*(1+Projet!$C$21)</f>
        <v>245619.89153132358</v>
      </c>
      <c r="Z4" s="51">
        <f>Y4*(1+Projet!$C$21)</f>
        <v>246847.99098898016</v>
      </c>
      <c r="AA4" s="51">
        <f>Z4*(1+Projet!$C$21)</f>
        <v>248082.23094392504</v>
      </c>
      <c r="AB4" s="51">
        <f>AA4*(1+Projet!$C$21)</f>
        <v>249322.64209864463</v>
      </c>
      <c r="AC4" s="51">
        <f>AB4*(1+Projet!$C$21)</f>
        <v>250569.25530913784</v>
      </c>
      <c r="AD4" s="51">
        <f>AC4*(1+Projet!$C$21)</f>
        <v>251822.1015856835</v>
      </c>
      <c r="AE4" s="51">
        <f>AD4*(1+Projet!$C$21)</f>
        <v>253081.21209361189</v>
      </c>
    </row>
    <row r="5" spans="1:31" s="20" customFormat="1" ht="16.05" customHeight="1">
      <c r="A5" s="31" t="s">
        <v>52</v>
      </c>
      <c r="B5" s="52">
        <f ca="1">Echéancier!J26</f>
        <v>226992.27438613478</v>
      </c>
      <c r="C5" s="52">
        <f ca="1">Echéancier!J38</f>
        <v>221239.34070192344</v>
      </c>
      <c r="D5" s="52">
        <f ca="1">Echéancier!J50</f>
        <v>215252.02362310211</v>
      </c>
      <c r="E5" s="52">
        <f ca="1">Echéancier!J62</f>
        <v>209020.77400853956</v>
      </c>
      <c r="F5" s="52">
        <f ca="1">Echéancier!J74</f>
        <v>202535.65367036138</v>
      </c>
      <c r="G5" s="52">
        <f ca="1">Echéancier!J86</f>
        <v>195786.31952358535</v>
      </c>
      <c r="H5" s="52">
        <f ca="1">Echéancier!J98</f>
        <v>188762.00708998839</v>
      </c>
      <c r="I5" s="52">
        <f ca="1">Echéancier!J110</f>
        <v>181451.51332989606</v>
      </c>
      <c r="J5" s="52">
        <f ca="1">Echéancier!J122</f>
        <v>173843.17877451202</v>
      </c>
      <c r="K5" s="52">
        <f ca="1">Echéancier!J134</f>
        <v>165924.86893029173</v>
      </c>
      <c r="L5" s="52">
        <f ca="1">Echéancier!J146</f>
        <v>157683.95492570088</v>
      </c>
      <c r="M5" s="52">
        <f ca="1">Echéancier!J158</f>
        <v>149107.29336949371</v>
      </c>
      <c r="N5" s="52">
        <f ca="1">Echéancier!J170</f>
        <v>140181.2053883858</v>
      </c>
      <c r="O5" s="52">
        <f ca="1">Echéancier!J182</f>
        <v>130891.45481068979</v>
      </c>
      <c r="P5" s="52">
        <f ca="1">Echéancier!J194</f>
        <v>121223.22546111833</v>
      </c>
      <c r="Q5" s="52">
        <f ca="1">Echéancier!J206</f>
        <v>111161.09753054305</v>
      </c>
      <c r="R5" s="52">
        <f ca="1">Echéancier!J218</f>
        <v>100689.02298301971</v>
      </c>
      <c r="S5" s="52">
        <f ca="1">Echéancier!J230</f>
        <v>89790.299960859236</v>
      </c>
      <c r="T5" s="52">
        <f ca="1">Echéancier!J242</f>
        <v>78447.546146920533</v>
      </c>
      <c r="U5" s="52">
        <f ca="1">Echéancier!J254</f>
        <v>66642.671041642607</v>
      </c>
      <c r="V5" s="52">
        <f ca="1">Echéancier!J266</f>
        <v>54356.847110600211</v>
      </c>
      <c r="W5" s="52">
        <f ca="1">Echéancier!J278</f>
        <v>41570.479756566288</v>
      </c>
      <c r="X5" s="52">
        <f ca="1">Echéancier!J290</f>
        <v>28263.17606818967</v>
      </c>
      <c r="Y5" s="52">
        <f ca="1">Echéancier!J302</f>
        <v>14413.712295446428</v>
      </c>
      <c r="Z5" s="52">
        <f ca="1">Echéancier!J314</f>
        <v>-1.0011717677116394E-8</v>
      </c>
      <c r="AA5" s="52" t="str">
        <f ca="1">Echéancier!J326</f>
        <v/>
      </c>
      <c r="AB5" s="52" t="str">
        <f ca="1">Echéancier!J338</f>
        <v/>
      </c>
      <c r="AC5" s="52" t="str">
        <f ca="1">Echéancier!J350</f>
        <v/>
      </c>
      <c r="AD5" s="52" t="str">
        <f ca="1">Echéancier!J362</f>
        <v/>
      </c>
      <c r="AE5" s="52" t="str">
        <f ca="1">Echéancier!J374</f>
        <v/>
      </c>
    </row>
    <row r="6" spans="1:31" s="20" customFormat="1" ht="16.05" customHeight="1">
      <c r="A6" s="32" t="s">
        <v>53</v>
      </c>
      <c r="B6" s="51">
        <f ca="1">IF(B5="",B4,B4-B5)</f>
        <v>-7992.2743861347844</v>
      </c>
      <c r="C6" s="51">
        <f t="shared" ref="C6:AE6" ca="1" si="1">IF(C5="",C4,C4-C5)</f>
        <v>-1144.3407019234728</v>
      </c>
      <c r="D6" s="51">
        <f t="shared" ca="1" si="1"/>
        <v>5943.4513768978359</v>
      </c>
      <c r="E6" s="51">
        <f t="shared" ca="1" si="1"/>
        <v>13280.678366460372</v>
      </c>
      <c r="F6" s="51">
        <f t="shared" ca="1" si="1"/>
        <v>20877.305966513522</v>
      </c>
      <c r="G6" s="51">
        <f t="shared" ca="1" si="1"/>
        <v>28743.704911473906</v>
      </c>
      <c r="H6" s="51">
        <f t="shared" ca="1" si="1"/>
        <v>36890.667467246152</v>
      </c>
      <c r="I6" s="51">
        <f t="shared" ca="1" si="1"/>
        <v>45329.424600124621</v>
      </c>
      <c r="J6" s="51">
        <f t="shared" ca="1" si="1"/>
        <v>54071.663845158735</v>
      </c>
      <c r="K6" s="51">
        <f t="shared" ca="1" si="1"/>
        <v>63129.547902477352</v>
      </c>
      <c r="L6" s="51">
        <f t="shared" ca="1" si="1"/>
        <v>72515.733991232031</v>
      </c>
      <c r="M6" s="51">
        <f t="shared" ca="1" si="1"/>
        <v>82243.393992023834</v>
      </c>
      <c r="N6" s="51">
        <f t="shared" ca="1" si="1"/>
        <v>92326.235409939312</v>
      </c>
      <c r="O6" s="51">
        <f t="shared" ca="1" si="1"/>
        <v>102778.52319162694</v>
      </c>
      <c r="P6" s="51">
        <f t="shared" ca="1" si="1"/>
        <v>113615.10243120996</v>
      </c>
      <c r="Q6" s="51">
        <f t="shared" ca="1" si="1"/>
        <v>124851.42200124686</v>
      </c>
      <c r="R6" s="51">
        <f t="shared" ca="1" si="1"/>
        <v>136503.55914642912</v>
      </c>
      <c r="S6" s="51">
        <f t="shared" ca="1" si="1"/>
        <v>148588.2450792368</v>
      </c>
      <c r="T6" s="51">
        <f t="shared" ca="1" si="1"/>
        <v>161122.89161837596</v>
      </c>
      <c r="U6" s="51">
        <f t="shared" ca="1" si="1"/>
        <v>174125.61891248033</v>
      </c>
      <c r="V6" s="51">
        <f t="shared" ca="1" si="1"/>
        <v>187615.28429329331</v>
      </c>
      <c r="W6" s="51">
        <f t="shared" ca="1" si="1"/>
        <v>201611.51230434669</v>
      </c>
      <c r="X6" s="51">
        <f t="shared" ca="1" si="1"/>
        <v>216134.72595302784</v>
      </c>
      <c r="Y6" s="51">
        <f t="shared" ca="1" si="1"/>
        <v>231206.17923587715</v>
      </c>
      <c r="Z6" s="51">
        <f t="shared" ca="1" si="1"/>
        <v>246847.99098899018</v>
      </c>
      <c r="AA6" s="51">
        <f t="shared" ca="1" si="1"/>
        <v>248082.23094392504</v>
      </c>
      <c r="AB6" s="51">
        <f t="shared" ca="1" si="1"/>
        <v>249322.64209864463</v>
      </c>
      <c r="AC6" s="51">
        <f t="shared" ca="1" si="1"/>
        <v>250569.25530913784</v>
      </c>
      <c r="AD6" s="51">
        <f t="shared" ca="1" si="1"/>
        <v>251822.1015856835</v>
      </c>
      <c r="AE6" s="51">
        <f t="shared" ca="1" si="1"/>
        <v>253081.21209361189</v>
      </c>
    </row>
    <row r="7" spans="1:31" s="20" customFormat="1" ht="16.05" customHeight="1">
      <c r="A7" s="31"/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5" customFormat="1" ht="16.05" customHeight="1">
      <c r="A8" s="44" t="s">
        <v>69</v>
      </c>
      <c r="B8" s="55">
        <f>Projet!C38</f>
        <v>0</v>
      </c>
      <c r="C8" s="55">
        <f>B8*(1+Projet!$C$21)</f>
        <v>0</v>
      </c>
      <c r="D8" s="55">
        <f>C8*(1+Projet!$C$21)</f>
        <v>0</v>
      </c>
      <c r="E8" s="55">
        <f>D8*(1+Projet!$C$21)</f>
        <v>0</v>
      </c>
      <c r="F8" s="55">
        <f>E8*(1+Projet!$C$21)</f>
        <v>0</v>
      </c>
      <c r="G8" s="55">
        <f>F8*(1+Projet!$C$21)</f>
        <v>0</v>
      </c>
      <c r="H8" s="55">
        <f>G8*(1+Projet!$C$21)</f>
        <v>0</v>
      </c>
      <c r="I8" s="55">
        <f>H8*(1+Projet!$C$21)</f>
        <v>0</v>
      </c>
      <c r="J8" s="55">
        <f>I8*(1+Projet!$C$21)</f>
        <v>0</v>
      </c>
      <c r="K8" s="55">
        <f>J8*(1+Projet!$C$21)</f>
        <v>0</v>
      </c>
      <c r="L8" s="55">
        <f>K8*(1+Projet!$C$21)</f>
        <v>0</v>
      </c>
      <c r="M8" s="55">
        <f>L8*(1+Projet!$C$21)</f>
        <v>0</v>
      </c>
      <c r="N8" s="55">
        <f>M8*(1+Projet!$C$21)</f>
        <v>0</v>
      </c>
      <c r="O8" s="55">
        <f>N8*(1+Projet!$C$21)</f>
        <v>0</v>
      </c>
      <c r="P8" s="55">
        <f>O8*(1+Projet!$C$21)</f>
        <v>0</v>
      </c>
      <c r="Q8" s="55">
        <f>P8*(1+Projet!$C$21)</f>
        <v>0</v>
      </c>
      <c r="R8" s="55">
        <f>Q8*(1+Projet!$C$21)</f>
        <v>0</v>
      </c>
      <c r="S8" s="55">
        <f>R8*(1+Projet!$C$21)</f>
        <v>0</v>
      </c>
      <c r="T8" s="55">
        <f>S8*(1+Projet!$C$21)</f>
        <v>0</v>
      </c>
      <c r="U8" s="55">
        <f>T8*(1+Projet!$C$21)</f>
        <v>0</v>
      </c>
      <c r="V8" s="55">
        <f>U8*(1+Projet!$C$21)</f>
        <v>0</v>
      </c>
      <c r="W8" s="55">
        <f>V8*(1+Projet!$C$21)</f>
        <v>0</v>
      </c>
      <c r="X8" s="55">
        <f>W8*(1+Projet!$C$21)</f>
        <v>0</v>
      </c>
      <c r="Y8" s="55">
        <f>X8*(1+Projet!$C$21)</f>
        <v>0</v>
      </c>
      <c r="Z8" s="55">
        <f>Y8*(1+Projet!$C$21)</f>
        <v>0</v>
      </c>
      <c r="AA8" s="55">
        <f>Z8*(1+Projet!$C$21)</f>
        <v>0</v>
      </c>
      <c r="AB8" s="55">
        <f>AA8*(1+Projet!$C$21)</f>
        <v>0</v>
      </c>
      <c r="AC8" s="55">
        <f>AB8*(1+Projet!$C$21)</f>
        <v>0</v>
      </c>
      <c r="AD8" s="55">
        <f>AC8*(1+Projet!$C$21)</f>
        <v>0</v>
      </c>
      <c r="AE8" s="55">
        <f>AD8*(1+Projet!$C$21)</f>
        <v>0</v>
      </c>
    </row>
    <row r="9" spans="1:31" s="20" customFormat="1" ht="16.05" customHeight="1">
      <c r="A9" s="31" t="s">
        <v>23</v>
      </c>
      <c r="B9" s="52">
        <f ca="1">IF(B2&lt;=Projet!$C$28,Echéancier!$G$9*12,0)</f>
        <v>14727.914652724703</v>
      </c>
      <c r="C9" s="52">
        <f ca="1">IF(C2&lt;=Projet!$C$28,Echéancier!$G$9*12,0)</f>
        <v>14727.914652724703</v>
      </c>
      <c r="D9" s="52">
        <f ca="1">IF(D2&lt;=Projet!$C$28,Echéancier!$G$9*12,0)</f>
        <v>14727.914652724703</v>
      </c>
      <c r="E9" s="52">
        <f ca="1">IF(E2&lt;=Projet!$C$28,Echéancier!$G$9*12,0)</f>
        <v>14727.914652724703</v>
      </c>
      <c r="F9" s="52">
        <f ca="1">IF(F2&lt;=Projet!$C$28,Echéancier!$G$9*12,0)</f>
        <v>14727.914652724703</v>
      </c>
      <c r="G9" s="52">
        <f ca="1">IF(G2&lt;=Projet!$C$28,Echéancier!$G$9*12,0)</f>
        <v>14727.914652724703</v>
      </c>
      <c r="H9" s="52">
        <f ca="1">IF(H2&lt;=Projet!$C$28,Echéancier!$G$9*12,0)</f>
        <v>14727.914652724703</v>
      </c>
      <c r="I9" s="52">
        <f ca="1">IF(I2&lt;=Projet!$C$28,Echéancier!$G$9*12,0)</f>
        <v>14727.914652724703</v>
      </c>
      <c r="J9" s="52">
        <f ca="1">IF(J2&lt;=Projet!$C$28,Echéancier!$G$9*12,0)</f>
        <v>14727.914652724703</v>
      </c>
      <c r="K9" s="52">
        <f ca="1">IF(K2&lt;=Projet!$C$28,Echéancier!$G$9*12,0)</f>
        <v>14727.914652724703</v>
      </c>
      <c r="L9" s="52">
        <f ca="1">IF(L2&lt;=Projet!$C$28,Echéancier!$G$9*12,0)</f>
        <v>14727.914652724703</v>
      </c>
      <c r="M9" s="52">
        <f ca="1">IF(M2&lt;=Projet!$C$28,Echéancier!$G$9*12,0)</f>
        <v>14727.914652724703</v>
      </c>
      <c r="N9" s="52">
        <f ca="1">IF(N2&lt;=Projet!$C$28,Echéancier!$G$9*12,0)</f>
        <v>14727.914652724703</v>
      </c>
      <c r="O9" s="52">
        <f ca="1">IF(O2&lt;=Projet!$C$28,Echéancier!$G$9*12,0)</f>
        <v>14727.914652724703</v>
      </c>
      <c r="P9" s="52">
        <f ca="1">IF(P2&lt;=Projet!$C$28,Echéancier!$G$9*12,0)</f>
        <v>14727.914652724703</v>
      </c>
      <c r="Q9" s="52">
        <f ca="1">IF(Q2&lt;=Projet!$C$28,Echéancier!$G$9*12,0)</f>
        <v>14727.914652724703</v>
      </c>
      <c r="R9" s="52">
        <f ca="1">IF(R2&lt;=Projet!$C$28,Echéancier!$G$9*12,0)</f>
        <v>14727.914652724703</v>
      </c>
      <c r="S9" s="52">
        <f ca="1">IF(S2&lt;=Projet!$C$28,Echéancier!$G$9*12,0)</f>
        <v>14727.914652724703</v>
      </c>
      <c r="T9" s="52">
        <f ca="1">IF(T2&lt;=Projet!$C$28,Echéancier!$G$9*12,0)</f>
        <v>14727.914652724703</v>
      </c>
      <c r="U9" s="52">
        <f ca="1">IF(U2&lt;=Projet!$C$28,Echéancier!$G$9*12,0)</f>
        <v>14727.914652724703</v>
      </c>
      <c r="V9" s="52">
        <f ca="1">IF(V2&lt;=Projet!$C$28,Echéancier!$G$9*12,0)</f>
        <v>14727.914652724703</v>
      </c>
      <c r="W9" s="52">
        <f ca="1">IF(W2&lt;=Projet!$C$28,Echéancier!$G$9*12,0)</f>
        <v>14727.914652724703</v>
      </c>
      <c r="X9" s="52">
        <f ca="1">IF(X2&lt;=Projet!$C$28,Echéancier!$G$9*12,0)</f>
        <v>14727.914652724703</v>
      </c>
      <c r="Y9" s="52">
        <f ca="1">IF(Y2&lt;=Projet!$C$28,Echéancier!$G$9*12,0)</f>
        <v>14727.914652724703</v>
      </c>
      <c r="Z9" s="52">
        <f ca="1">IF(Z2&lt;=Projet!$C$28,Echéancier!$G$9*12,0)</f>
        <v>14727.914652724703</v>
      </c>
      <c r="AA9" s="52">
        <f ca="1">IF(AA2&lt;=Projet!$C$28,Echéancier!$G$9*12,0)</f>
        <v>14727.914652724703</v>
      </c>
      <c r="AB9" s="52">
        <f ca="1">IF(AB2&lt;=Projet!$C$28,Echéancier!$G$9*12,0)</f>
        <v>14727.914652724703</v>
      </c>
      <c r="AC9" s="52">
        <f ca="1">IF(AC2&lt;=Projet!$C$28,Echéancier!$G$9*12,0)</f>
        <v>14727.914652724703</v>
      </c>
      <c r="AD9" s="52">
        <f ca="1">IF(AD2&lt;=Projet!$C$28,Echéancier!$G$9*12,0)</f>
        <v>14727.914652724703</v>
      </c>
      <c r="AE9" s="52">
        <f ca="1">IF(AE2&lt;=Projet!$C$28,Echéancier!$G$9*12,0)</f>
        <v>14727.914652724703</v>
      </c>
    </row>
    <row r="10" spans="1:31" s="20" customFormat="1" ht="16.05" customHeight="1">
      <c r="A10" s="32" t="s">
        <v>22</v>
      </c>
      <c r="B10" s="51">
        <f ca="1">IF(B2&lt;=Projet!$C$28,SUM((Echéancier!$H$15:$H$26)),0)</f>
        <v>5527.7256138650646</v>
      </c>
      <c r="C10" s="51">
        <f ca="1">IF(C2&lt;=Projet!$C$28,SUM((Echéancier!H27:H38)),0)</f>
        <v>5752.9336842111697</v>
      </c>
      <c r="D10" s="51">
        <f ca="1">IF(D2&lt;=Projet!$C$28,SUM((Echéancier!H39:H50)),0)</f>
        <v>5987.3170788211601</v>
      </c>
      <c r="E10" s="51">
        <f ca="1">IF(E2&lt;=Projet!$C$28,SUM((Echéancier!H51:H62),0))</f>
        <v>6231.2496145623436</v>
      </c>
      <c r="F10" s="51">
        <f ca="1">IF(F2&lt;=Projet!$C$28,SUM((Echéancier!$H$63:$H$74),0))</f>
        <v>6485.1203381779578</v>
      </c>
      <c r="G10" s="51">
        <f ca="1">IF(G2&lt;=Projet!$C$28,SUM((Echéancier!$H$75:$H$86),0))</f>
        <v>6749.3341467758364</v>
      </c>
      <c r="H10" s="51">
        <f ca="1">IF(H2&lt;=Projet!$C$28,SUM((Echéancier!$H$87:$H$98),0))</f>
        <v>7024.312433596705</v>
      </c>
      <c r="I10" s="51">
        <f ca="1">IF(I2&lt;=Projet!$C$28,SUM((Echéancier!$H$99:$H$110),0))</f>
        <v>7310.4937600920975</v>
      </c>
      <c r="J10" s="51">
        <f ca="1">IF(J2&lt;=Projet!$C$28,SUM((Echéancier!$H$111:$H$122),0))</f>
        <v>7608.3345553837435</v>
      </c>
      <c r="K10" s="51">
        <f ca="1">IF(K2&lt;=Projet!$C$28,SUM((Echéancier!$H$123:$H$134),0))</f>
        <v>7918.3098442200289</v>
      </c>
      <c r="L10" s="51">
        <f ca="1">IF(L2&lt;=Projet!$C$28,SUM((Echéancier!$H$135:$H$146),0))</f>
        <v>8240.9140045905133</v>
      </c>
      <c r="M10" s="51">
        <f ca="1">IF(M2&lt;=Projet!$C$28,SUM((Echéancier!$H$147:$H$158),0))</f>
        <v>8576.6615562068328</v>
      </c>
      <c r="N10" s="51">
        <f ca="1">IF(N2&lt;=Projet!$C$28,SUM((Echéancier!$H$159:$H$170),0))</f>
        <v>8926.0879811075447</v>
      </c>
      <c r="O10" s="51">
        <f ca="1">IF(O2&lt;=Projet!$C$28,SUM((Echéancier!$H$171:$H$182),0))</f>
        <v>9289.750577695655</v>
      </c>
      <c r="P10" s="51">
        <f ca="1">IF(P2&lt;=Projet!$C$28,SUM((Echéancier!$H$183:$H$194),0))</f>
        <v>9668.2293495709837</v>
      </c>
      <c r="Q10" s="51">
        <f ca="1">IF(Q2&lt;=Projet!$C$28,SUM((Echéancier!$H$195:$H$206),0))</f>
        <v>10062.127930574898</v>
      </c>
      <c r="R10" s="51">
        <f ca="1">IF(R2&lt;=Projet!$C$28,SUM((Echéancier!$H$207:$H$218),0))</f>
        <v>10472.07454752283</v>
      </c>
      <c r="S10" s="51">
        <f ca="1">IF(S2&lt;=Projet!$C$28,SUM((Echéancier!$H$219:$H$230),0))</f>
        <v>10898.723022159969</v>
      </c>
      <c r="T10" s="51">
        <f ca="1">IF(T2&lt;=Projet!$C$28,SUM((Echéancier!$H$231:$H$242),0))</f>
        <v>11342.753813938196</v>
      </c>
      <c r="U10" s="51">
        <f ca="1">IF(U2&lt;=Projet!$C$28,SUM((Echéancier!$H$243:$H$254),0))</f>
        <v>11804.87510527737</v>
      </c>
      <c r="V10" s="51">
        <f ca="1">IF(V2&lt;=Projet!$C$28,SUM((Echéancier!$H$255:$H$266),0))</f>
        <v>12285.823931041783</v>
      </c>
      <c r="W10" s="51">
        <f ca="1">IF(W2&lt;=Projet!$C$28,SUM((Echéancier!$H$267:$H$278),0))</f>
        <v>12786.367354033298</v>
      </c>
      <c r="X10" s="51">
        <f ca="1">IF(X2&lt;=Projet!$C$28,SUM((Echéancier!$H$279:$H$290),0))</f>
        <v>13307.303688375845</v>
      </c>
      <c r="Y10" s="51">
        <f ca="1">IF(Y2&lt;=Projet!$C$28,SUM((Echéancier!$H$291:$H$302),0))</f>
        <v>13849.463772742485</v>
      </c>
      <c r="Z10" s="51">
        <f ca="1">IF(Z2&lt;=Projet!$C$28,SUM((Echéancier!$H$303:$H$314)),0)</f>
        <v>14413.712295455744</v>
      </c>
      <c r="AA10" s="51">
        <f ca="1">IF(AA2&lt;=Projet!$C$28,SUM((Echéancier!$H$315:$H$326)),0)</f>
        <v>0</v>
      </c>
      <c r="AB10" s="51">
        <f ca="1">IF(AB2&lt;=Projet!$C$28,SUM((Echéancier!$H$327:$H$338)),0)</f>
        <v>0</v>
      </c>
      <c r="AC10" s="51">
        <f ca="1">IF(AC2&lt;=Projet!$C$28,SUM((Echéancier!$H$339:$H$350)),0)</f>
        <v>0</v>
      </c>
      <c r="AD10" s="51">
        <f ca="1">IF(AD2&lt;=Projet!$C$28,SUM((Echéancier!$H$351:$H$362)),0)</f>
        <v>0</v>
      </c>
      <c r="AE10" s="51">
        <f ca="1">IF(AE2&lt;=Projet!$C$28,SUM((Echéancier!$H$363:$H$374)),0)</f>
        <v>0</v>
      </c>
    </row>
    <row r="11" spans="1:31" s="20" customFormat="1" ht="16.05" customHeight="1">
      <c r="A11" s="33" t="s">
        <v>24</v>
      </c>
      <c r="B11" s="52">
        <f t="shared" ref="B11:Y11" ca="1" si="2">IF(B10=0,0,B9-B10)</f>
        <v>9200.1890388596385</v>
      </c>
      <c r="C11" s="52">
        <f t="shared" ca="1" si="2"/>
        <v>8974.9809685135333</v>
      </c>
      <c r="D11" s="52">
        <f t="shared" ca="1" si="2"/>
        <v>8740.5975739035421</v>
      </c>
      <c r="E11" s="52">
        <f t="shared" ca="1" si="2"/>
        <v>8496.6650381623585</v>
      </c>
      <c r="F11" s="52">
        <f t="shared" ca="1" si="2"/>
        <v>8242.7943145467452</v>
      </c>
      <c r="G11" s="52">
        <f t="shared" ca="1" si="2"/>
        <v>7978.5805059488666</v>
      </c>
      <c r="H11" s="52">
        <f t="shared" ca="1" si="2"/>
        <v>7703.6022191279981</v>
      </c>
      <c r="I11" s="52">
        <f t="shared" ca="1" si="2"/>
        <v>7417.4208926326055</v>
      </c>
      <c r="J11" s="52">
        <f t="shared" ca="1" si="2"/>
        <v>7119.5800973409596</v>
      </c>
      <c r="K11" s="52">
        <f t="shared" ca="1" si="2"/>
        <v>6809.6048085046741</v>
      </c>
      <c r="L11" s="52">
        <f t="shared" ca="1" si="2"/>
        <v>6487.0006481341898</v>
      </c>
      <c r="M11" s="52">
        <f t="shared" ca="1" si="2"/>
        <v>6151.2530965178703</v>
      </c>
      <c r="N11" s="52">
        <f t="shared" ca="1" si="2"/>
        <v>5801.8266716171584</v>
      </c>
      <c r="O11" s="52">
        <f t="shared" ca="1" si="2"/>
        <v>5438.164075029048</v>
      </c>
      <c r="P11" s="52">
        <f t="shared" ca="1" si="2"/>
        <v>5059.6853031537194</v>
      </c>
      <c r="Q11" s="52">
        <f t="shared" ca="1" si="2"/>
        <v>4665.7867221498054</v>
      </c>
      <c r="R11" s="52">
        <f t="shared" ca="1" si="2"/>
        <v>4255.8401052018726</v>
      </c>
      <c r="S11" s="52">
        <f t="shared" ca="1" si="2"/>
        <v>3829.1916305647337</v>
      </c>
      <c r="T11" s="52">
        <f t="shared" ca="1" si="2"/>
        <v>3385.1608387865072</v>
      </c>
      <c r="U11" s="52">
        <f t="shared" ca="1" si="2"/>
        <v>2923.0395474473335</v>
      </c>
      <c r="V11" s="52">
        <f t="shared" ca="1" si="2"/>
        <v>2442.09072168292</v>
      </c>
      <c r="W11" s="52">
        <f t="shared" ca="1" si="2"/>
        <v>1941.5472986914046</v>
      </c>
      <c r="X11" s="52">
        <f t="shared" ca="1" si="2"/>
        <v>1420.610964348858</v>
      </c>
      <c r="Y11" s="52">
        <f t="shared" ca="1" si="2"/>
        <v>878.45087998221788</v>
      </c>
      <c r="Z11" s="52">
        <f ca="1">IF(Z10=0,0,Z9-Z10)</f>
        <v>314.20235726895953</v>
      </c>
      <c r="AA11" s="52">
        <f t="shared" ref="AA11:AE11" ca="1" si="3">IF(AA10=0,0,AA9-AA10)</f>
        <v>0</v>
      </c>
      <c r="AB11" s="52">
        <f t="shared" ca="1" si="3"/>
        <v>0</v>
      </c>
      <c r="AC11" s="52">
        <f t="shared" ca="1" si="3"/>
        <v>0</v>
      </c>
      <c r="AD11" s="52">
        <f t="shared" ca="1" si="3"/>
        <v>0</v>
      </c>
      <c r="AE11" s="52">
        <f t="shared" ca="1" si="3"/>
        <v>0</v>
      </c>
    </row>
    <row r="12" spans="1:31" s="20" customFormat="1" ht="16.05" customHeight="1">
      <c r="A12" s="32" t="s">
        <v>21</v>
      </c>
      <c r="B12" s="51">
        <f>Projet!$C$30*12</f>
        <v>600</v>
      </c>
      <c r="C12" s="51">
        <f>Projet!$C$30*12</f>
        <v>600</v>
      </c>
      <c r="D12" s="51">
        <f>Projet!$C$30*12</f>
        <v>600</v>
      </c>
      <c r="E12" s="51">
        <f>Projet!$C$30*12</f>
        <v>600</v>
      </c>
      <c r="F12" s="51">
        <f>Projet!$C$30*12</f>
        <v>600</v>
      </c>
      <c r="G12" s="51">
        <f>Projet!$C$30*12</f>
        <v>600</v>
      </c>
      <c r="H12" s="51">
        <f>Projet!$C$30*12</f>
        <v>600</v>
      </c>
      <c r="I12" s="51">
        <f>Projet!$C$30*12</f>
        <v>600</v>
      </c>
      <c r="J12" s="51">
        <f>Projet!$C$30*12</f>
        <v>600</v>
      </c>
      <c r="K12" s="51">
        <f>Projet!$C$30*12</f>
        <v>600</v>
      </c>
      <c r="L12" s="51">
        <f>Projet!$C$30*12</f>
        <v>600</v>
      </c>
      <c r="M12" s="51">
        <f>Projet!$C$30*12</f>
        <v>600</v>
      </c>
      <c r="N12" s="51">
        <f>Projet!$C$30*12</f>
        <v>600</v>
      </c>
      <c r="O12" s="51">
        <f>Projet!$C$30*12</f>
        <v>600</v>
      </c>
      <c r="P12" s="51">
        <f>Projet!$C$30*12</f>
        <v>600</v>
      </c>
      <c r="Q12" s="51">
        <f>Projet!$C$30*12</f>
        <v>600</v>
      </c>
      <c r="R12" s="51">
        <f>Projet!$C$30*12</f>
        <v>600</v>
      </c>
      <c r="S12" s="51">
        <f>Projet!$C$30*12</f>
        <v>600</v>
      </c>
      <c r="T12" s="51">
        <f>Projet!$C$30*12</f>
        <v>600</v>
      </c>
      <c r="U12" s="51">
        <f>Projet!$C$30*12</f>
        <v>600</v>
      </c>
      <c r="V12" s="51">
        <f>Projet!$C$30*12</f>
        <v>600</v>
      </c>
      <c r="W12" s="51">
        <f>Projet!$C$30*12</f>
        <v>600</v>
      </c>
      <c r="X12" s="51">
        <f>Projet!$C$30*12</f>
        <v>600</v>
      </c>
      <c r="Y12" s="51">
        <f>Projet!$C$30*12</f>
        <v>600</v>
      </c>
      <c r="Z12" s="51">
        <f>Projet!$C$30*12</f>
        <v>600</v>
      </c>
      <c r="AA12" s="51">
        <f>Projet!$C$30*12</f>
        <v>600</v>
      </c>
      <c r="AB12" s="51">
        <f>Projet!$C$30*12</f>
        <v>600</v>
      </c>
      <c r="AC12" s="51">
        <f>Projet!$C$30*12</f>
        <v>600</v>
      </c>
      <c r="AD12" s="51">
        <f>Projet!$C$30*12</f>
        <v>600</v>
      </c>
      <c r="AE12" s="51">
        <f>Projet!$C$30*12</f>
        <v>600</v>
      </c>
    </row>
    <row r="13" spans="1:31" s="20" customFormat="1" ht="16.05" customHeight="1">
      <c r="A13" s="33" t="s">
        <v>71</v>
      </c>
      <c r="B13" s="56">
        <f>Projet!C20</f>
        <v>0</v>
      </c>
      <c r="C13" s="56">
        <f>B13*(1+Projet!$C$21)</f>
        <v>0</v>
      </c>
      <c r="D13" s="56">
        <f>C13*(1+Projet!$C$21)</f>
        <v>0</v>
      </c>
      <c r="E13" s="56">
        <f>D13*(1+Projet!$C$21)</f>
        <v>0</v>
      </c>
      <c r="F13" s="56">
        <f>E13*(1+Projet!$C$21)</f>
        <v>0</v>
      </c>
      <c r="G13" s="56">
        <f>F13*(1+Projet!$C$21)</f>
        <v>0</v>
      </c>
      <c r="H13" s="56">
        <f>G13*(1+Projet!$C$21)</f>
        <v>0</v>
      </c>
      <c r="I13" s="56">
        <f>H13*(1+Projet!$C$21)</f>
        <v>0</v>
      </c>
      <c r="J13" s="56">
        <f>I13*(1+Projet!$C$21)</f>
        <v>0</v>
      </c>
      <c r="K13" s="56">
        <f>J13*(1+Projet!$C$21)</f>
        <v>0</v>
      </c>
      <c r="L13" s="56">
        <f>K13*(1+Projet!$C$21)</f>
        <v>0</v>
      </c>
      <c r="M13" s="56">
        <f>L13*(1+Projet!$C$21)</f>
        <v>0</v>
      </c>
      <c r="N13" s="56">
        <f>M13*(1+Projet!$C$21)</f>
        <v>0</v>
      </c>
      <c r="O13" s="56">
        <f>N13*(1+Projet!$C$21)</f>
        <v>0</v>
      </c>
      <c r="P13" s="56">
        <f>O13*(1+Projet!$C$21)</f>
        <v>0</v>
      </c>
      <c r="Q13" s="56">
        <f>P13*(1+Projet!$C$21)</f>
        <v>0</v>
      </c>
      <c r="R13" s="56">
        <f>Q13*(1+Projet!$C$21)</f>
        <v>0</v>
      </c>
      <c r="S13" s="56">
        <f>R13*(1+Projet!$C$21)</f>
        <v>0</v>
      </c>
      <c r="T13" s="56">
        <f>S13*(1+Projet!$C$21)</f>
        <v>0</v>
      </c>
      <c r="U13" s="56">
        <f>T13*(1+Projet!$C$21)</f>
        <v>0</v>
      </c>
      <c r="V13" s="56">
        <f>U13*(1+Projet!$C$21)</f>
        <v>0</v>
      </c>
      <c r="W13" s="56">
        <f>V13*(1+Projet!$C$21)</f>
        <v>0</v>
      </c>
      <c r="X13" s="56">
        <f>W13*(1+Projet!$C$21)</f>
        <v>0</v>
      </c>
      <c r="Y13" s="56">
        <f>X13*(1+Projet!$C$21)</f>
        <v>0</v>
      </c>
      <c r="Z13" s="56">
        <f>Y13*(1+Projet!$C$21)</f>
        <v>0</v>
      </c>
      <c r="AA13" s="56">
        <f>Z13*(1+Projet!$C$21)</f>
        <v>0</v>
      </c>
      <c r="AB13" s="56">
        <f>AA13*(1+Projet!$C$21)</f>
        <v>0</v>
      </c>
      <c r="AC13" s="56">
        <f>AB13*(1+Projet!$C$21)</f>
        <v>0</v>
      </c>
      <c r="AD13" s="56">
        <f>AC13*(1+Projet!$C$21)</f>
        <v>0</v>
      </c>
      <c r="AE13" s="56">
        <f>AD13*(1+Projet!$C$21)</f>
        <v>0</v>
      </c>
    </row>
    <row r="14" spans="1:31" s="20" customFormat="1" ht="16.05" customHeight="1">
      <c r="A14" s="32" t="s">
        <v>25</v>
      </c>
      <c r="B14" s="57">
        <f>IF(Projet!$C$5="Oui ",B8*0.05,0)</f>
        <v>0</v>
      </c>
      <c r="C14" s="57">
        <f>IF(Projet!$C$5="Oui ",C8*0.05,0)</f>
        <v>0</v>
      </c>
      <c r="D14" s="57">
        <f>IF(Projet!$C$5="Oui ",D8*0.05,0)</f>
        <v>0</v>
      </c>
      <c r="E14" s="57">
        <f>IF(Projet!$C$5="Oui ",E8*0.05,0)</f>
        <v>0</v>
      </c>
      <c r="F14" s="57">
        <f>IF(Projet!$C$5="Oui ",F8*0.05,0)</f>
        <v>0</v>
      </c>
      <c r="G14" s="57">
        <f>IF(Projet!$C$5="Oui ",G8*0.05,0)</f>
        <v>0</v>
      </c>
      <c r="H14" s="57">
        <f>IF(Projet!$C$5="Oui ",H8*0.05,0)</f>
        <v>0</v>
      </c>
      <c r="I14" s="57">
        <f>IF(Projet!$C$5="Oui ",I8*0.05,0)</f>
        <v>0</v>
      </c>
      <c r="J14" s="57">
        <f>IF(Projet!$C$5="Oui ",J8*0.05,0)</f>
        <v>0</v>
      </c>
      <c r="K14" s="57">
        <f>IF(Projet!$C$5="Oui ",K8*0.05,0)</f>
        <v>0</v>
      </c>
      <c r="L14" s="57">
        <f>IF(Projet!$C$5="Oui ",L8*0.05,0)</f>
        <v>0</v>
      </c>
      <c r="M14" s="57">
        <f>IF(Projet!$C$5="Oui ",M8*0.05,0)</f>
        <v>0</v>
      </c>
      <c r="N14" s="57">
        <f>IF(Projet!$C$5="Oui ",N8*0.05,0)</f>
        <v>0</v>
      </c>
      <c r="O14" s="57">
        <f>IF(Projet!$C$5="Oui ",O8*0.05,0)</f>
        <v>0</v>
      </c>
      <c r="P14" s="57">
        <f>IF(Projet!$C$5="Oui ",P8*0.05,0)</f>
        <v>0</v>
      </c>
      <c r="Q14" s="57">
        <f>IF(Projet!$C$5="Oui ",Q8*0.05,0)</f>
        <v>0</v>
      </c>
      <c r="R14" s="57">
        <f>IF(Projet!$C$5="Oui ",R8*0.05,0)</f>
        <v>0</v>
      </c>
      <c r="S14" s="57">
        <f>IF(Projet!$C$5="Oui ",S8*0.05,0)</f>
        <v>0</v>
      </c>
      <c r="T14" s="57">
        <f>IF(Projet!$C$5="Oui ",T8*0.05,0)</f>
        <v>0</v>
      </c>
      <c r="U14" s="57">
        <f>IF(Projet!$C$5="Oui ",U8*0.05,0)</f>
        <v>0</v>
      </c>
      <c r="V14" s="57">
        <f>IF(Projet!$C$5="Oui ",V8*0.05,0)</f>
        <v>0</v>
      </c>
      <c r="W14" s="57">
        <f>IF(Projet!$C$5="Oui ",W8*0.05,0)</f>
        <v>0</v>
      </c>
      <c r="X14" s="57">
        <f>IF(Projet!$C$5="Oui ",X8*0.05,0)</f>
        <v>0</v>
      </c>
      <c r="Y14" s="57">
        <f>IF(Projet!$C$5="Oui ",Y8*0.05,0)</f>
        <v>0</v>
      </c>
      <c r="Z14" s="57">
        <f>IF(Projet!$C$5="Oui ",Z8*0.05,0)</f>
        <v>0</v>
      </c>
      <c r="AA14" s="57">
        <f>IF(Projet!$C$5="Oui ",AA8*0.05,0)</f>
        <v>0</v>
      </c>
      <c r="AB14" s="57">
        <f>IF(Projet!$C$5="Oui ",AB8*0.05,0)</f>
        <v>0</v>
      </c>
      <c r="AC14" s="57">
        <f>IF(Projet!$C$5="Oui ",AC8*0.05,0)</f>
        <v>0</v>
      </c>
      <c r="AD14" s="57">
        <f>IF(Projet!$C$5="Oui ",AD8*0.05,0)</f>
        <v>0</v>
      </c>
      <c r="AE14" s="57">
        <f>IF(Projet!$C$5="Oui ",AE8*0.05,0)</f>
        <v>0</v>
      </c>
    </row>
    <row r="15" spans="1:31" s="20" customFormat="1" ht="16.05" customHeight="1">
      <c r="A15" s="33" t="s">
        <v>72</v>
      </c>
      <c r="B15" s="56">
        <f>Projet!C19</f>
        <v>1000</v>
      </c>
      <c r="C15" s="56">
        <f>B15*(1+Projet!$C$21)</f>
        <v>1004.9999999999999</v>
      </c>
      <c r="D15" s="56">
        <f>C15*(1+Projet!$C$21)</f>
        <v>1010.0249999999997</v>
      </c>
      <c r="E15" s="56">
        <f>D15*(1+Projet!$C$21)</f>
        <v>1015.0751249999996</v>
      </c>
      <c r="F15" s="56">
        <f>E15*(1+Projet!$C$21)</f>
        <v>1020.1505006249995</v>
      </c>
      <c r="G15" s="56">
        <f>F15*(1+Projet!$C$21)</f>
        <v>1025.2512531281243</v>
      </c>
      <c r="H15" s="56">
        <f>G15*(1+Projet!$C$21)</f>
        <v>1030.3775093937647</v>
      </c>
      <c r="I15" s="56">
        <f>H15*(1+Projet!$C$21)</f>
        <v>1035.5293969407335</v>
      </c>
      <c r="J15" s="56">
        <f>I15*(1+Projet!$C$21)</f>
        <v>1040.7070439254371</v>
      </c>
      <c r="K15" s="56">
        <f>J15*(1+Projet!$C$21)</f>
        <v>1045.9105791450643</v>
      </c>
      <c r="L15" s="56">
        <f>K15*(1+Projet!$C$21)</f>
        <v>1051.1401320407895</v>
      </c>
      <c r="M15" s="56">
        <f>L15*(1+Projet!$C$21)</f>
        <v>1056.3958327009932</v>
      </c>
      <c r="N15" s="56">
        <f>M15*(1+Projet!$C$21)</f>
        <v>1061.6778118644982</v>
      </c>
      <c r="O15" s="56">
        <f>N15*(1+Projet!$C$21)</f>
        <v>1066.9862009238204</v>
      </c>
      <c r="P15" s="56">
        <f>O15*(1+Projet!$C$21)</f>
        <v>1072.3211319284394</v>
      </c>
      <c r="Q15" s="56">
        <f>P15*(1+Projet!$C$21)</f>
        <v>1077.6827375880814</v>
      </c>
      <c r="R15" s="56">
        <f>Q15*(1+Projet!$C$21)</f>
        <v>1083.0711512760217</v>
      </c>
      <c r="S15" s="56">
        <f>R15*(1+Projet!$C$21)</f>
        <v>1088.4865070324017</v>
      </c>
      <c r="T15" s="56">
        <f>S15*(1+Projet!$C$21)</f>
        <v>1093.9289395675637</v>
      </c>
      <c r="U15" s="56">
        <f>T15*(1+Projet!$C$21)</f>
        <v>1099.3985842654015</v>
      </c>
      <c r="V15" s="56">
        <f>U15*(1+Projet!$C$21)</f>
        <v>1104.8955771867284</v>
      </c>
      <c r="W15" s="56">
        <f>V15*(1+Projet!$C$21)</f>
        <v>1110.4200550726619</v>
      </c>
      <c r="X15" s="56">
        <f>W15*(1+Projet!$C$21)</f>
        <v>1115.9721553480251</v>
      </c>
      <c r="Y15" s="56">
        <f>X15*(1+Projet!$C$21)</f>
        <v>1121.552016124765</v>
      </c>
      <c r="Z15" s="56">
        <f>Y15*(1+Projet!$C$21)</f>
        <v>1127.1597762053887</v>
      </c>
      <c r="AA15" s="56">
        <f>Z15*(1+Projet!$C$21)</f>
        <v>1132.7955750864155</v>
      </c>
      <c r="AB15" s="56">
        <f>AA15*(1+Projet!$C$21)</f>
        <v>1138.4595529618475</v>
      </c>
      <c r="AC15" s="56">
        <f>AB15*(1+Projet!$C$21)</f>
        <v>1144.1518507266567</v>
      </c>
      <c r="AD15" s="56">
        <f>AC15*(1+Projet!$C$21)</f>
        <v>1149.8726099802898</v>
      </c>
      <c r="AE15" s="56">
        <f>AD15*(1+Projet!$C$21)</f>
        <v>1155.6219730301912</v>
      </c>
    </row>
    <row r="16" spans="1:31" s="20" customFormat="1" ht="16.05" customHeight="1">
      <c r="A16" s="32" t="s">
        <v>73</v>
      </c>
      <c r="B16" s="51">
        <f>Projet!C18</f>
        <v>0</v>
      </c>
      <c r="C16" s="51">
        <f>B16*(1+Projet!$C$21)</f>
        <v>0</v>
      </c>
      <c r="D16" s="51">
        <f>C16*(1+Projet!$C$21)</f>
        <v>0</v>
      </c>
      <c r="E16" s="51">
        <f>D16*(1+Projet!$C$21)</f>
        <v>0</v>
      </c>
      <c r="F16" s="51">
        <f>E16*(1+Projet!$C$21)</f>
        <v>0</v>
      </c>
      <c r="G16" s="51">
        <f>F16*(1+Projet!$C$21)</f>
        <v>0</v>
      </c>
      <c r="H16" s="51">
        <f>G16*(1+Projet!$C$21)</f>
        <v>0</v>
      </c>
      <c r="I16" s="51">
        <f>H16*(1+Projet!$C$21)</f>
        <v>0</v>
      </c>
      <c r="J16" s="51">
        <f>I16*(1+Projet!$C$21)</f>
        <v>0</v>
      </c>
      <c r="K16" s="51">
        <f>J16*(1+Projet!$C$21)</f>
        <v>0</v>
      </c>
      <c r="L16" s="51">
        <f>K16*(1+Projet!$C$21)</f>
        <v>0</v>
      </c>
      <c r="M16" s="51">
        <f>L16*(1+Projet!$C$21)</f>
        <v>0</v>
      </c>
      <c r="N16" s="51">
        <f>M16*(1+Projet!$C$21)</f>
        <v>0</v>
      </c>
      <c r="O16" s="51">
        <f>N16*(1+Projet!$C$21)</f>
        <v>0</v>
      </c>
      <c r="P16" s="51">
        <f>O16*(1+Projet!$C$21)</f>
        <v>0</v>
      </c>
      <c r="Q16" s="51">
        <f>P16*(1+Projet!$C$21)</f>
        <v>0</v>
      </c>
      <c r="R16" s="51">
        <f>Q16*(1+Projet!$C$21)</f>
        <v>0</v>
      </c>
      <c r="S16" s="51">
        <f>R16*(1+Projet!$C$21)</f>
        <v>0</v>
      </c>
      <c r="T16" s="51">
        <f>S16*(1+Projet!$C$21)</f>
        <v>0</v>
      </c>
      <c r="U16" s="51">
        <f>T16*(1+Projet!$C$21)</f>
        <v>0</v>
      </c>
      <c r="V16" s="51">
        <f>U16*(1+Projet!$C$21)</f>
        <v>0</v>
      </c>
      <c r="W16" s="51">
        <f>V16*(1+Projet!$C$21)</f>
        <v>0</v>
      </c>
      <c r="X16" s="51">
        <f>W16*(1+Projet!$C$21)</f>
        <v>0</v>
      </c>
      <c r="Y16" s="51">
        <f>X16*(1+Projet!$C$21)</f>
        <v>0</v>
      </c>
      <c r="Z16" s="51">
        <f>Y16*(1+Projet!$C$21)</f>
        <v>0</v>
      </c>
      <c r="AA16" s="51">
        <f>Z16*(1+Projet!$C$21)</f>
        <v>0</v>
      </c>
      <c r="AB16" s="51">
        <f>AA16*(1+Projet!$C$21)</f>
        <v>0</v>
      </c>
      <c r="AC16" s="51">
        <f>AB16*(1+Projet!$C$21)</f>
        <v>0</v>
      </c>
      <c r="AD16" s="51">
        <f>AC16*(1+Projet!$C$21)</f>
        <v>0</v>
      </c>
      <c r="AE16" s="51">
        <f>AD16*(1+Projet!$C$21)</f>
        <v>0</v>
      </c>
    </row>
    <row r="17" spans="1:31" s="20" customFormat="1" ht="16.05" customHeight="1">
      <c r="A17" s="33" t="s">
        <v>50</v>
      </c>
      <c r="B17" s="56">
        <f>Projet!C10</f>
        <v>50000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</row>
    <row r="18" spans="1:31" s="20" customFormat="1" ht="16.05" customHeight="1">
      <c r="A18" s="32" t="s">
        <v>104</v>
      </c>
      <c r="B18" s="51">
        <f ca="1">B8-B9-B12-B13-B14-B15-B16</f>
        <v>-16327.914652724703</v>
      </c>
      <c r="C18" s="51">
        <f ca="1">C8-C9-C12-C13-C14-C15-C16</f>
        <v>-16332.914652724703</v>
      </c>
      <c r="D18" s="51">
        <f t="shared" ref="D18:AE18" ca="1" si="4">D8-D9-D12-D13-D14-D15-D16</f>
        <v>-16337.939652724703</v>
      </c>
      <c r="E18" s="51">
        <f t="shared" ca="1" si="4"/>
        <v>-16342.989777724702</v>
      </c>
      <c r="F18" s="51">
        <f t="shared" ca="1" si="4"/>
        <v>-16348.065153349702</v>
      </c>
      <c r="G18" s="51">
        <f t="shared" ca="1" si="4"/>
        <v>-16353.165905852828</v>
      </c>
      <c r="H18" s="51">
        <f t="shared" ca="1" si="4"/>
        <v>-16358.292162118469</v>
      </c>
      <c r="I18" s="51">
        <f t="shared" ca="1" si="4"/>
        <v>-16363.444049665437</v>
      </c>
      <c r="J18" s="51">
        <f t="shared" ca="1" si="4"/>
        <v>-16368.62169665014</v>
      </c>
      <c r="K18" s="51">
        <f t="shared" ca="1" si="4"/>
        <v>-16373.825231869767</v>
      </c>
      <c r="L18" s="51">
        <f t="shared" ca="1" si="4"/>
        <v>-16379.054784765493</v>
      </c>
      <c r="M18" s="51">
        <f t="shared" ca="1" si="4"/>
        <v>-16384.310485425696</v>
      </c>
      <c r="N18" s="51">
        <f t="shared" ca="1" si="4"/>
        <v>-16389.592464589201</v>
      </c>
      <c r="O18" s="51">
        <f t="shared" ca="1" si="4"/>
        <v>-16394.900853648523</v>
      </c>
      <c r="P18" s="51">
        <f t="shared" ca="1" si="4"/>
        <v>-16400.235784653141</v>
      </c>
      <c r="Q18" s="51">
        <f t="shared" ca="1" si="4"/>
        <v>-16405.597390312785</v>
      </c>
      <c r="R18" s="51">
        <f t="shared" ca="1" si="4"/>
        <v>-16410.985804000724</v>
      </c>
      <c r="S18" s="51">
        <f t="shared" ca="1" si="4"/>
        <v>-16416.401159757104</v>
      </c>
      <c r="T18" s="51">
        <f t="shared" ca="1" si="4"/>
        <v>-16421.843592292265</v>
      </c>
      <c r="U18" s="51">
        <f ca="1">U8-U9-U12-U13-U14-U15-U16</f>
        <v>-16427.313236990103</v>
      </c>
      <c r="V18" s="51">
        <f ca="1">V8-V9-V12-V13-V14-V15-V16</f>
        <v>-16432.810229911433</v>
      </c>
      <c r="W18" s="51">
        <f t="shared" ca="1" si="4"/>
        <v>-16438.334707797367</v>
      </c>
      <c r="X18" s="51">
        <f t="shared" ca="1" si="4"/>
        <v>-16443.88680807273</v>
      </c>
      <c r="Y18" s="51">
        <f t="shared" ca="1" si="4"/>
        <v>-16449.466668849469</v>
      </c>
      <c r="Z18" s="51">
        <f t="shared" ca="1" si="4"/>
        <v>-16455.074428930093</v>
      </c>
      <c r="AA18" s="51">
        <f t="shared" ca="1" si="4"/>
        <v>-16460.71022781112</v>
      </c>
      <c r="AB18" s="51">
        <f t="shared" ca="1" si="4"/>
        <v>-16466.374205686552</v>
      </c>
      <c r="AC18" s="51">
        <f t="shared" ca="1" si="4"/>
        <v>-16472.066503451359</v>
      </c>
      <c r="AD18" s="51">
        <f t="shared" ca="1" si="4"/>
        <v>-16477.787262704995</v>
      </c>
      <c r="AE18" s="51">
        <f t="shared" ca="1" si="4"/>
        <v>-16483.536625754896</v>
      </c>
    </row>
    <row r="19" spans="1:31" s="37" customFormat="1" ht="16.05" customHeight="1">
      <c r="A19" s="34" t="s">
        <v>26</v>
      </c>
      <c r="B19" s="105">
        <f>(B8-B13-B14-B15-B16)/$B$3</f>
        <v>-4.2371480942579014E-3</v>
      </c>
      <c r="C19" s="105">
        <f t="shared" ref="C19:AE19" si="5">(C8-C12-C13-C14-C15-C16)/$B$3</f>
        <v>-6.8006226912839312E-3</v>
      </c>
      <c r="D19" s="105">
        <f t="shared" si="5"/>
        <v>-6.8219143604575762E-3</v>
      </c>
      <c r="E19" s="105">
        <f t="shared" si="5"/>
        <v>-6.84331248797709E-3</v>
      </c>
      <c r="F19" s="105">
        <f t="shared" si="5"/>
        <v>-6.8648176061342015E-3</v>
      </c>
      <c r="G19" s="105">
        <f t="shared" si="5"/>
        <v>-6.8864302498820975E-3</v>
      </c>
      <c r="H19" s="105">
        <f t="shared" si="5"/>
        <v>-6.908150956848734E-3</v>
      </c>
      <c r="I19" s="105">
        <f t="shared" si="5"/>
        <v>-6.9299802673502033E-3</v>
      </c>
      <c r="J19" s="105">
        <f t="shared" si="5"/>
        <v>-6.9519187244041804E-3</v>
      </c>
      <c r="K19" s="105">
        <f t="shared" si="5"/>
        <v>-6.9739668737434281E-3</v>
      </c>
      <c r="L19" s="105">
        <f t="shared" si="5"/>
        <v>-6.9961252638293704E-3</v>
      </c>
      <c r="M19" s="105">
        <f t="shared" si="5"/>
        <v>-7.0183944458657426E-3</v>
      </c>
      <c r="N19" s="105">
        <f t="shared" si="5"/>
        <v>-7.0407749738122978E-3</v>
      </c>
      <c r="O19" s="105">
        <f t="shared" si="5"/>
        <v>-7.0632674043985847E-3</v>
      </c>
      <c r="P19" s="105">
        <f t="shared" si="5"/>
        <v>-7.0858722971378031E-3</v>
      </c>
      <c r="Q19" s="105">
        <f t="shared" si="5"/>
        <v>-7.1085902143407176E-3</v>
      </c>
      <c r="R19" s="105">
        <f t="shared" si="5"/>
        <v>-7.1314217211296471E-3</v>
      </c>
      <c r="S19" s="105">
        <f t="shared" si="5"/>
        <v>-7.1543673854525215E-3</v>
      </c>
      <c r="T19" s="105">
        <f t="shared" si="5"/>
        <v>-7.1774277780970105E-3</v>
      </c>
      <c r="U19" s="105">
        <f t="shared" si="5"/>
        <v>-7.2006034727047216E-3</v>
      </c>
      <c r="V19" s="105">
        <f t="shared" si="5"/>
        <v>-7.223895045785471E-3</v>
      </c>
      <c r="W19" s="105">
        <f t="shared" si="5"/>
        <v>-7.2473030767316237E-3</v>
      </c>
      <c r="X19" s="105">
        <f t="shared" si="5"/>
        <v>-7.2708281478325084E-3</v>
      </c>
      <c r="Y19" s="105">
        <f t="shared" si="5"/>
        <v>-7.2944708442888957E-3</v>
      </c>
      <c r="Z19" s="105">
        <f t="shared" si="5"/>
        <v>-7.3182317542275655E-3</v>
      </c>
      <c r="AA19" s="105">
        <f t="shared" si="5"/>
        <v>-7.3421114687159299E-3</v>
      </c>
      <c r="AB19" s="105">
        <f t="shared" si="5"/>
        <v>-7.3661105817767357E-3</v>
      </c>
      <c r="AC19" s="105">
        <f t="shared" si="5"/>
        <v>-7.390229690402845E-3</v>
      </c>
      <c r="AD19" s="105">
        <f t="shared" si="5"/>
        <v>-7.414469394572085E-3</v>
      </c>
      <c r="AE19" s="105">
        <f t="shared" si="5"/>
        <v>-7.438830297262171E-3</v>
      </c>
    </row>
    <row r="20" spans="1:31" s="20" customFormat="1" ht="41" customHeight="1">
      <c r="A20" s="82" t="s">
        <v>66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s="20" customFormat="1" ht="16.05" customHeight="1">
      <c r="A21" s="30" t="s">
        <v>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s="20" customFormat="1" ht="16.05" customHeight="1">
      <c r="A22" s="32" t="s">
        <v>81</v>
      </c>
      <c r="B22" s="51">
        <f ca="1">B8-B11-B12-B13-B14-B15-B16-B17</f>
        <v>-60800.189038859637</v>
      </c>
      <c r="C22" s="51">
        <f t="shared" ref="C22:AE22" ca="1" si="6">IF(B22&lt;0,B22+C8-C11-C12-C13-C14-C15-C16-C17,C8-C11-C12-C13-C14-C15-C16-C17)</f>
        <v>-71380.170007373177</v>
      </c>
      <c r="D22" s="51">
        <f t="shared" ca="1" si="6"/>
        <v>-81730.792581276706</v>
      </c>
      <c r="E22" s="51">
        <f t="shared" ca="1" si="6"/>
        <v>-91842.532744439071</v>
      </c>
      <c r="F22" s="51">
        <f t="shared" ca="1" si="6"/>
        <v>-101705.47755961081</v>
      </c>
      <c r="G22" s="51">
        <f t="shared" ca="1" si="6"/>
        <v>-111309.3093186878</v>
      </c>
      <c r="H22" s="51">
        <f t="shared" ca="1" si="6"/>
        <v>-120643.28904720955</v>
      </c>
      <c r="I22" s="51">
        <f t="shared" ca="1" si="6"/>
        <v>-129696.23933678289</v>
      </c>
      <c r="J22" s="51">
        <f t="shared" ca="1" si="6"/>
        <v>-138456.52647804929</v>
      </c>
      <c r="K22" s="51">
        <f t="shared" ca="1" si="6"/>
        <v>-146912.04186569902</v>
      </c>
      <c r="L22" s="51">
        <f t="shared" ca="1" si="6"/>
        <v>-155050.18264587398</v>
      </c>
      <c r="M22" s="51">
        <f t="shared" ca="1" si="6"/>
        <v>-162857.83157509286</v>
      </c>
      <c r="N22" s="51">
        <f t="shared" ca="1" si="6"/>
        <v>-170321.33605857452</v>
      </c>
      <c r="O22" s="51">
        <f t="shared" ca="1" si="6"/>
        <v>-177426.48633452741</v>
      </c>
      <c r="P22" s="51">
        <f t="shared" ca="1" si="6"/>
        <v>-184158.49276960958</v>
      </c>
      <c r="Q22" s="51">
        <f t="shared" ca="1" si="6"/>
        <v>-190501.96222934747</v>
      </c>
      <c r="R22" s="51">
        <f t="shared" ca="1" si="6"/>
        <v>-196440.87348582537</v>
      </c>
      <c r="S22" s="51">
        <f t="shared" ca="1" si="6"/>
        <v>-201958.55162342254</v>
      </c>
      <c r="T22" s="51">
        <f t="shared" ca="1" si="6"/>
        <v>-207037.64140177661</v>
      </c>
      <c r="U22" s="51">
        <f t="shared" ca="1" si="6"/>
        <v>-211660.07953348933</v>
      </c>
      <c r="V22" s="51">
        <f t="shared" ca="1" si="6"/>
        <v>-215807.06583235896</v>
      </c>
      <c r="W22" s="51">
        <f t="shared" ca="1" si="6"/>
        <v>-219459.03318612304</v>
      </c>
      <c r="X22" s="51">
        <f t="shared" ca="1" si="6"/>
        <v>-222595.61630581992</v>
      </c>
      <c r="Y22" s="51">
        <f t="shared" ca="1" si="6"/>
        <v>-225195.61920192689</v>
      </c>
      <c r="Z22" s="51">
        <f t="shared" ca="1" si="6"/>
        <v>-227236.98133540124</v>
      </c>
      <c r="AA22" s="51">
        <f t="shared" ca="1" si="6"/>
        <v>-228969.77691048765</v>
      </c>
      <c r="AB22" s="51">
        <f t="shared" ca="1" si="6"/>
        <v>-230708.23646344949</v>
      </c>
      <c r="AC22" s="51">
        <f t="shared" ca="1" si="6"/>
        <v>-232452.38831417615</v>
      </c>
      <c r="AD22" s="51">
        <f t="shared" ca="1" si="6"/>
        <v>-234202.26092415644</v>
      </c>
      <c r="AE22" s="51">
        <f t="shared" ca="1" si="6"/>
        <v>-235957.88289718662</v>
      </c>
    </row>
    <row r="23" spans="1:31" s="20" customFormat="1" ht="16.05" customHeight="1">
      <c r="A23" s="38" t="s">
        <v>65</v>
      </c>
      <c r="B23" s="73">
        <f ca="1">IF(B22&gt;0,B22*Projet!$C$4+B22*0.172,0)</f>
        <v>0</v>
      </c>
      <c r="C23" s="73">
        <f ca="1">IF(C22&gt;0,C22*Projet!$C$4+C22*0.172,0)</f>
        <v>0</v>
      </c>
      <c r="D23" s="73">
        <f ca="1">IF(D22&gt;0,D22*Projet!$C$4+D22*0.172,0)</f>
        <v>0</v>
      </c>
      <c r="E23" s="73">
        <f ca="1">IF(E22&gt;0,E22*Projet!$C$4+E22*0.172,0)</f>
        <v>0</v>
      </c>
      <c r="F23" s="73">
        <f ca="1">IF(F22&gt;0,F22*Projet!$C$4+F22*0.172,0)</f>
        <v>0</v>
      </c>
      <c r="G23" s="73">
        <f ca="1">IF(G22&gt;0,G22*Projet!$C$4+G22*0.172,0)</f>
        <v>0</v>
      </c>
      <c r="H23" s="73">
        <f ca="1">IF(H22&gt;0,H22*Projet!$C$4+H22*0.172,0)</f>
        <v>0</v>
      </c>
      <c r="I23" s="73">
        <f ca="1">IF(I22&gt;0,I22*Projet!$C$4+I22*0.172,0)</f>
        <v>0</v>
      </c>
      <c r="J23" s="73">
        <f ca="1">IF(J22&gt;0,J22*Projet!$C$4+J22*0.172,0)</f>
        <v>0</v>
      </c>
      <c r="K23" s="73">
        <f ca="1">IF(K22&gt;0,K22*Projet!$C$4+K22*0.172,0)</f>
        <v>0</v>
      </c>
      <c r="L23" s="73">
        <f ca="1">IF(L22&gt;0,L22*Projet!$C$4+L22*0.172,0)</f>
        <v>0</v>
      </c>
      <c r="M23" s="73">
        <f ca="1">IF(M22&gt;0,M22*Projet!$C$4+M22*0.172,0)</f>
        <v>0</v>
      </c>
      <c r="N23" s="73">
        <f ca="1">IF(N22&gt;0,N22*Projet!$C$4+N22*0.172,0)</f>
        <v>0</v>
      </c>
      <c r="O23" s="73">
        <f ca="1">IF(O22&gt;0,O22*Projet!$C$4+O22*0.172,0)</f>
        <v>0</v>
      </c>
      <c r="P23" s="73">
        <f ca="1">IF(P22&gt;0,P22*Projet!$C$4+P22*0.172,0)</f>
        <v>0</v>
      </c>
      <c r="Q23" s="73">
        <f ca="1">IF(Q22&gt;0,Q22*Projet!$C$4+Q22*0.172,0)</f>
        <v>0</v>
      </c>
      <c r="R23" s="73">
        <f ca="1">IF(R22&gt;0,R22*Projet!$C$4+R22*0.172,0)</f>
        <v>0</v>
      </c>
      <c r="S23" s="73">
        <f ca="1">IF(S22&gt;0,S22*Projet!$C$4+S22*0.172,0)</f>
        <v>0</v>
      </c>
      <c r="T23" s="73">
        <f ca="1">IF(T22&gt;0,T22*Projet!$C$4+T22*0.172,0)</f>
        <v>0</v>
      </c>
      <c r="U23" s="73">
        <f ca="1">IF(U22&gt;0,U22*Projet!$C$4+U22*0.172,0)</f>
        <v>0</v>
      </c>
      <c r="V23" s="73">
        <f ca="1">IF(V22&gt;0,V22*Projet!$C$4+V22*0.172,0)</f>
        <v>0</v>
      </c>
      <c r="W23" s="73">
        <f ca="1">IF(W22&gt;0,W22*Projet!$C$4+W22*0.172,0)</f>
        <v>0</v>
      </c>
      <c r="X23" s="73">
        <f ca="1">IF(X22&gt;0,X22*Projet!$C$4+X22*0.172,0)</f>
        <v>0</v>
      </c>
      <c r="Y23" s="73">
        <f ca="1">IF(Y22&gt;0,Y22*Projet!$C$4+Y22*0.172,0)</f>
        <v>0</v>
      </c>
      <c r="Z23" s="73">
        <f ca="1">IF(Z22&gt;0,Z22*Projet!$C$4+Z22*0.172,0)</f>
        <v>0</v>
      </c>
      <c r="AA23" s="73">
        <f ca="1">IF(AA22&gt;0,AA22*Projet!$C$4+AA22*0.172,0)</f>
        <v>0</v>
      </c>
      <c r="AB23" s="73">
        <f ca="1">IF(AB22&gt;0,AB22*Projet!$C$4+AB22*0.172,0)</f>
        <v>0</v>
      </c>
      <c r="AC23" s="73">
        <f ca="1">IF(AC22&gt;0,AC22*Projet!$C$4+AC22*0.172,0)</f>
        <v>0</v>
      </c>
      <c r="AD23" s="73">
        <f ca="1">IF(AD22&gt;0,AD22*Projet!$C$4+AD22*0.172,0)</f>
        <v>0</v>
      </c>
      <c r="AE23" s="73">
        <f ca="1">IF(AE22&gt;0,AE22*Projet!$C$4+AE22*0.172,0)</f>
        <v>0</v>
      </c>
    </row>
    <row r="24" spans="1:31" s="20" customFormat="1" ht="16.05" hidden="1" customHeight="1">
      <c r="A24" s="31" t="s">
        <v>37</v>
      </c>
      <c r="B24" s="54"/>
      <c r="C24" s="54"/>
      <c r="D24" s="54"/>
      <c r="E24" s="54"/>
      <c r="F24" s="54"/>
      <c r="G24" s="58"/>
      <c r="H24" s="54"/>
      <c r="I24" s="54"/>
      <c r="J24" s="54"/>
      <c r="K24" s="52">
        <f ca="1">SUM(B23:K23)</f>
        <v>0</v>
      </c>
      <c r="L24" s="54"/>
      <c r="M24" s="54"/>
      <c r="N24" s="54"/>
      <c r="O24" s="54"/>
      <c r="P24" s="52">
        <f ca="1">SUM(B23:P23)</f>
        <v>0</v>
      </c>
      <c r="Q24" s="54"/>
      <c r="R24" s="54"/>
      <c r="S24" s="54"/>
      <c r="T24" s="54"/>
      <c r="U24" s="52">
        <f ca="1">SUM(B23:U23)</f>
        <v>0</v>
      </c>
      <c r="V24" s="54"/>
      <c r="W24" s="54"/>
      <c r="X24" s="54"/>
      <c r="Y24" s="54"/>
      <c r="Z24" s="52">
        <f ca="1">SUM(B23:Z23)</f>
        <v>0</v>
      </c>
      <c r="AA24" s="54"/>
      <c r="AB24" s="54"/>
      <c r="AC24" s="54"/>
      <c r="AD24" s="54"/>
      <c r="AE24" s="52">
        <f ca="1">SUM(B23:AE23)</f>
        <v>0</v>
      </c>
    </row>
    <row r="25" spans="1:31" s="20" customFormat="1" ht="16.05" customHeight="1">
      <c r="A25" s="32" t="s">
        <v>77</v>
      </c>
      <c r="B25" s="51">
        <f t="shared" ref="B25:AE25" ca="1" si="7">B18-B23</f>
        <v>-16327.914652724703</v>
      </c>
      <c r="C25" s="51">
        <f t="shared" ca="1" si="7"/>
        <v>-16332.914652724703</v>
      </c>
      <c r="D25" s="51">
        <f t="shared" ca="1" si="7"/>
        <v>-16337.939652724703</v>
      </c>
      <c r="E25" s="51">
        <f t="shared" ca="1" si="7"/>
        <v>-16342.989777724702</v>
      </c>
      <c r="F25" s="51">
        <f t="shared" ca="1" si="7"/>
        <v>-16348.065153349702</v>
      </c>
      <c r="G25" s="51">
        <f t="shared" ca="1" si="7"/>
        <v>-16353.165905852828</v>
      </c>
      <c r="H25" s="51">
        <f t="shared" ca="1" si="7"/>
        <v>-16358.292162118469</v>
      </c>
      <c r="I25" s="51">
        <f t="shared" ca="1" si="7"/>
        <v>-16363.444049665437</v>
      </c>
      <c r="J25" s="51">
        <f t="shared" ca="1" si="7"/>
        <v>-16368.62169665014</v>
      </c>
      <c r="K25" s="51">
        <f t="shared" ca="1" si="7"/>
        <v>-16373.825231869767</v>
      </c>
      <c r="L25" s="51">
        <f t="shared" ca="1" si="7"/>
        <v>-16379.054784765493</v>
      </c>
      <c r="M25" s="51">
        <f t="shared" ca="1" si="7"/>
        <v>-16384.310485425696</v>
      </c>
      <c r="N25" s="51">
        <f t="shared" ca="1" si="7"/>
        <v>-16389.592464589201</v>
      </c>
      <c r="O25" s="51">
        <f t="shared" ca="1" si="7"/>
        <v>-16394.900853648523</v>
      </c>
      <c r="P25" s="51">
        <f t="shared" ca="1" si="7"/>
        <v>-16400.235784653141</v>
      </c>
      <c r="Q25" s="51">
        <f t="shared" ca="1" si="7"/>
        <v>-16405.597390312785</v>
      </c>
      <c r="R25" s="51">
        <f t="shared" ca="1" si="7"/>
        <v>-16410.985804000724</v>
      </c>
      <c r="S25" s="51">
        <f t="shared" ca="1" si="7"/>
        <v>-16416.401159757104</v>
      </c>
      <c r="T25" s="51">
        <f t="shared" ca="1" si="7"/>
        <v>-16421.843592292265</v>
      </c>
      <c r="U25" s="51">
        <f t="shared" ca="1" si="7"/>
        <v>-16427.313236990103</v>
      </c>
      <c r="V25" s="51">
        <f t="shared" ca="1" si="7"/>
        <v>-16432.810229911433</v>
      </c>
      <c r="W25" s="51">
        <f t="shared" ca="1" si="7"/>
        <v>-16438.334707797367</v>
      </c>
      <c r="X25" s="51">
        <f t="shared" ca="1" si="7"/>
        <v>-16443.88680807273</v>
      </c>
      <c r="Y25" s="51">
        <f t="shared" ca="1" si="7"/>
        <v>-16449.466668849469</v>
      </c>
      <c r="Z25" s="51">
        <f t="shared" ca="1" si="7"/>
        <v>-16455.074428930093</v>
      </c>
      <c r="AA25" s="51">
        <f t="shared" ca="1" si="7"/>
        <v>-16460.71022781112</v>
      </c>
      <c r="AB25" s="51">
        <f t="shared" ca="1" si="7"/>
        <v>-16466.374205686552</v>
      </c>
      <c r="AC25" s="51">
        <f t="shared" ca="1" si="7"/>
        <v>-16472.066503451359</v>
      </c>
      <c r="AD25" s="51">
        <f t="shared" ca="1" si="7"/>
        <v>-16477.787262704995</v>
      </c>
      <c r="AE25" s="51">
        <f t="shared" ca="1" si="7"/>
        <v>-16483.536625754896</v>
      </c>
    </row>
    <row r="26" spans="1:31" s="20" customFormat="1" ht="16.05" customHeight="1">
      <c r="A26" s="33" t="s">
        <v>78</v>
      </c>
      <c r="B26" s="56">
        <f t="shared" ref="B26:AE26" ca="1" si="8">(B18-B23)/12</f>
        <v>-1360.6595543937253</v>
      </c>
      <c r="C26" s="56">
        <f t="shared" ca="1" si="8"/>
        <v>-1361.0762210603918</v>
      </c>
      <c r="D26" s="56">
        <f t="shared" ca="1" si="8"/>
        <v>-1361.4949710603919</v>
      </c>
      <c r="E26" s="56">
        <f t="shared" ca="1" si="8"/>
        <v>-1361.9158148103918</v>
      </c>
      <c r="F26" s="56">
        <f t="shared" ca="1" si="8"/>
        <v>-1362.3387627791419</v>
      </c>
      <c r="G26" s="56">
        <f t="shared" ca="1" si="8"/>
        <v>-1362.7638254877356</v>
      </c>
      <c r="H26" s="56">
        <f t="shared" ca="1" si="8"/>
        <v>-1363.1910135098724</v>
      </c>
      <c r="I26" s="56">
        <f t="shared" ca="1" si="8"/>
        <v>-1363.6203374721197</v>
      </c>
      <c r="J26" s="56">
        <f t="shared" ca="1" si="8"/>
        <v>-1364.0518080541783</v>
      </c>
      <c r="K26" s="56">
        <f t="shared" ca="1" si="8"/>
        <v>-1364.4854359891472</v>
      </c>
      <c r="L26" s="56">
        <f t="shared" ca="1" si="8"/>
        <v>-1364.921232063791</v>
      </c>
      <c r="M26" s="56">
        <f t="shared" ca="1" si="8"/>
        <v>-1365.3592071188079</v>
      </c>
      <c r="N26" s="56">
        <f t="shared" ca="1" si="8"/>
        <v>-1365.7993720491002</v>
      </c>
      <c r="O26" s="56">
        <f t="shared" ca="1" si="8"/>
        <v>-1366.2417378040436</v>
      </c>
      <c r="P26" s="56">
        <f t="shared" ca="1" si="8"/>
        <v>-1366.6863153877619</v>
      </c>
      <c r="Q26" s="56">
        <f t="shared" ca="1" si="8"/>
        <v>-1367.1331158593987</v>
      </c>
      <c r="R26" s="56">
        <f t="shared" ca="1" si="8"/>
        <v>-1367.5821503333937</v>
      </c>
      <c r="S26" s="56">
        <f t="shared" ca="1" si="8"/>
        <v>-1368.0334299797587</v>
      </c>
      <c r="T26" s="56">
        <f t="shared" ca="1" si="8"/>
        <v>-1368.4869660243555</v>
      </c>
      <c r="U26" s="56">
        <f t="shared" ca="1" si="8"/>
        <v>-1368.9427697491753</v>
      </c>
      <c r="V26" s="56">
        <f t="shared" ca="1" si="8"/>
        <v>-1369.4008524926194</v>
      </c>
      <c r="W26" s="56">
        <f t="shared" ca="1" si="8"/>
        <v>-1369.8612256497806</v>
      </c>
      <c r="X26" s="56">
        <f t="shared" ca="1" si="8"/>
        <v>-1370.3239006727274</v>
      </c>
      <c r="Y26" s="56">
        <f t="shared" ca="1" si="8"/>
        <v>-1370.7888890707891</v>
      </c>
      <c r="Z26" s="56">
        <f t="shared" ca="1" si="8"/>
        <v>-1371.2562024108411</v>
      </c>
      <c r="AA26" s="56">
        <f t="shared" ca="1" si="8"/>
        <v>-1371.7258523175933</v>
      </c>
      <c r="AB26" s="56">
        <f t="shared" ca="1" si="8"/>
        <v>-1372.1978504738793</v>
      </c>
      <c r="AC26" s="56">
        <f t="shared" ca="1" si="8"/>
        <v>-1372.6722086209465</v>
      </c>
      <c r="AD26" s="56">
        <f t="shared" ca="1" si="8"/>
        <v>-1373.1489385587495</v>
      </c>
      <c r="AE26" s="56">
        <f t="shared" ca="1" si="8"/>
        <v>-1373.6280521462413</v>
      </c>
    </row>
    <row r="27" spans="1:31" s="25" customFormat="1" ht="16.05" customHeight="1">
      <c r="A27" s="44" t="s">
        <v>54</v>
      </c>
      <c r="B27" s="77">
        <f t="shared" ref="B27:AE27" ca="1" si="9">(B8-B13-B14-B15-B16-B23)/$B$3</f>
        <v>-4.2371480942579014E-3</v>
      </c>
      <c r="C27" s="77">
        <f t="shared" ca="1" si="9"/>
        <v>-4.2583338347291907E-3</v>
      </c>
      <c r="D27" s="77">
        <f t="shared" ca="1" si="9"/>
        <v>-4.2796255039028357E-3</v>
      </c>
      <c r="E27" s="77">
        <f t="shared" ca="1" si="9"/>
        <v>-4.3010236314223495E-3</v>
      </c>
      <c r="F27" s="77">
        <f t="shared" ca="1" si="9"/>
        <v>-4.322528749579461E-3</v>
      </c>
      <c r="G27" s="77">
        <f t="shared" ca="1" si="9"/>
        <v>-4.3441413933273569E-3</v>
      </c>
      <c r="H27" s="77">
        <f t="shared" ca="1" si="9"/>
        <v>-4.3658621002939935E-3</v>
      </c>
      <c r="I27" s="77">
        <f t="shared" ca="1" si="9"/>
        <v>-4.3876914107954627E-3</v>
      </c>
      <c r="J27" s="77">
        <f t="shared" ca="1" si="9"/>
        <v>-4.4096298678494399E-3</v>
      </c>
      <c r="K27" s="77">
        <f t="shared" ca="1" si="9"/>
        <v>-4.4316780171886868E-3</v>
      </c>
      <c r="L27" s="77">
        <f t="shared" ca="1" si="9"/>
        <v>-4.4538364072746299E-3</v>
      </c>
      <c r="M27" s="77">
        <f t="shared" ca="1" si="9"/>
        <v>-4.4761055893110021E-3</v>
      </c>
      <c r="N27" s="77">
        <f t="shared" ca="1" si="9"/>
        <v>-4.4984861172575573E-3</v>
      </c>
      <c r="O27" s="77">
        <f t="shared" ca="1" si="9"/>
        <v>-4.5209785478438442E-3</v>
      </c>
      <c r="P27" s="77">
        <f t="shared" ca="1" si="9"/>
        <v>-4.5435834405830626E-3</v>
      </c>
      <c r="Q27" s="77">
        <f t="shared" ca="1" si="9"/>
        <v>-4.5663013577859771E-3</v>
      </c>
      <c r="R27" s="77">
        <f t="shared" ca="1" si="9"/>
        <v>-4.5891328645749066E-3</v>
      </c>
      <c r="S27" s="77">
        <f t="shared" ca="1" si="9"/>
        <v>-4.612078528897781E-3</v>
      </c>
      <c r="T27" s="77">
        <f t="shared" ca="1" si="9"/>
        <v>-4.6351389215422692E-3</v>
      </c>
      <c r="U27" s="77">
        <f t="shared" ca="1" si="9"/>
        <v>-4.6583146161499811E-3</v>
      </c>
      <c r="V27" s="77">
        <f t="shared" ca="1" si="9"/>
        <v>-4.6816061892307297E-3</v>
      </c>
      <c r="W27" s="77">
        <f t="shared" ca="1" si="9"/>
        <v>-4.7050142201768832E-3</v>
      </c>
      <c r="X27" s="77">
        <f t="shared" ca="1" si="9"/>
        <v>-4.728539291277767E-3</v>
      </c>
      <c r="Y27" s="77">
        <f t="shared" ca="1" si="9"/>
        <v>-4.7521819877341552E-3</v>
      </c>
      <c r="Z27" s="77">
        <f t="shared" ca="1" si="9"/>
        <v>-4.775942897672825E-3</v>
      </c>
      <c r="AA27" s="77">
        <f t="shared" ca="1" si="9"/>
        <v>-4.7998226121611885E-3</v>
      </c>
      <c r="AB27" s="77">
        <f t="shared" ca="1" si="9"/>
        <v>-4.8238217252219943E-3</v>
      </c>
      <c r="AC27" s="77">
        <f t="shared" ca="1" si="9"/>
        <v>-4.8479408338481045E-3</v>
      </c>
      <c r="AD27" s="77">
        <f t="shared" ca="1" si="9"/>
        <v>-4.8721805380173436E-3</v>
      </c>
      <c r="AE27" s="77">
        <f t="shared" ca="1" si="9"/>
        <v>-4.8965414407074305E-3</v>
      </c>
    </row>
    <row r="28" spans="1:31" s="20" customFormat="1" ht="16.05" hidden="1" customHeight="1">
      <c r="A28" s="31" t="s">
        <v>83</v>
      </c>
      <c r="B28" s="75"/>
      <c r="C28" s="54"/>
      <c r="D28" s="54"/>
      <c r="E28" s="54"/>
      <c r="F28" s="54"/>
      <c r="G28" s="58"/>
      <c r="H28" s="54"/>
      <c r="I28" s="54"/>
      <c r="J28" s="54"/>
      <c r="K28" s="76">
        <f ca="1">AVERAGE(B27:K27)</f>
        <v>-4.3337662603346681E-3</v>
      </c>
      <c r="L28" s="54"/>
      <c r="M28" s="54"/>
      <c r="N28" s="54"/>
      <c r="O28" s="54"/>
      <c r="P28" s="76">
        <f ca="1">AVERAGE(B27:P27)</f>
        <v>-4.388710180374452E-3</v>
      </c>
      <c r="Q28" s="54"/>
      <c r="R28" s="54"/>
      <c r="S28" s="54"/>
      <c r="T28" s="54"/>
      <c r="U28" s="76">
        <f ca="1">AVERAGE(B27:U27)</f>
        <v>-4.4445809497283845E-3</v>
      </c>
      <c r="V28" s="54"/>
      <c r="W28" s="54"/>
      <c r="X28" s="54"/>
      <c r="Y28" s="54"/>
      <c r="Z28" s="76">
        <f ca="1">AVERAGE(B27:Z27)</f>
        <v>-4.5013961432264025E-3</v>
      </c>
      <c r="AA28" s="54"/>
      <c r="AB28" s="54"/>
      <c r="AC28" s="54"/>
      <c r="AD28" s="54"/>
      <c r="AE28" s="76">
        <f ca="1">AVERAGE(B27:AE27)</f>
        <v>-4.5591736910205374E-3</v>
      </c>
    </row>
    <row r="29" spans="1:31" ht="16.05" customHeight="1">
      <c r="A29" s="31"/>
      <c r="B29" s="59"/>
      <c r="C29" s="60"/>
      <c r="D29" s="60"/>
    </row>
    <row r="30" spans="1:31" ht="16.05" customHeight="1">
      <c r="A30" s="30" t="s">
        <v>64</v>
      </c>
      <c r="B30" s="69"/>
      <c r="C30" s="70"/>
      <c r="D30" s="70"/>
      <c r="E30" s="71"/>
      <c r="F30" s="71"/>
      <c r="G30" s="72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ht="16.05" customHeight="1">
      <c r="A31" s="80" t="s">
        <v>81</v>
      </c>
      <c r="B31" s="74">
        <f t="shared" ref="B31:AE31" si="10">B8*0.7</f>
        <v>0</v>
      </c>
      <c r="C31" s="74">
        <f t="shared" si="10"/>
        <v>0</v>
      </c>
      <c r="D31" s="74">
        <f t="shared" si="10"/>
        <v>0</v>
      </c>
      <c r="E31" s="74">
        <f t="shared" si="10"/>
        <v>0</v>
      </c>
      <c r="F31" s="74">
        <f t="shared" si="10"/>
        <v>0</v>
      </c>
      <c r="G31" s="74">
        <f t="shared" si="10"/>
        <v>0</v>
      </c>
      <c r="H31" s="74">
        <f t="shared" si="10"/>
        <v>0</v>
      </c>
      <c r="I31" s="74">
        <f t="shared" si="10"/>
        <v>0</v>
      </c>
      <c r="J31" s="74">
        <f t="shared" si="10"/>
        <v>0</v>
      </c>
      <c r="K31" s="74">
        <f t="shared" si="10"/>
        <v>0</v>
      </c>
      <c r="L31" s="74">
        <f t="shared" si="10"/>
        <v>0</v>
      </c>
      <c r="M31" s="74">
        <f t="shared" si="10"/>
        <v>0</v>
      </c>
      <c r="N31" s="74">
        <f t="shared" si="10"/>
        <v>0</v>
      </c>
      <c r="O31" s="74">
        <f t="shared" si="10"/>
        <v>0</v>
      </c>
      <c r="P31" s="74">
        <f t="shared" si="10"/>
        <v>0</v>
      </c>
      <c r="Q31" s="74">
        <f t="shared" si="10"/>
        <v>0</v>
      </c>
      <c r="R31" s="74">
        <f t="shared" si="10"/>
        <v>0</v>
      </c>
      <c r="S31" s="74">
        <f t="shared" si="10"/>
        <v>0</v>
      </c>
      <c r="T31" s="74">
        <f t="shared" si="10"/>
        <v>0</v>
      </c>
      <c r="U31" s="74">
        <f t="shared" si="10"/>
        <v>0</v>
      </c>
      <c r="V31" s="74">
        <f t="shared" si="10"/>
        <v>0</v>
      </c>
      <c r="W31" s="74">
        <f t="shared" si="10"/>
        <v>0</v>
      </c>
      <c r="X31" s="74">
        <f t="shared" si="10"/>
        <v>0</v>
      </c>
      <c r="Y31" s="74">
        <f t="shared" si="10"/>
        <v>0</v>
      </c>
      <c r="Z31" s="74">
        <f t="shared" si="10"/>
        <v>0</v>
      </c>
      <c r="AA31" s="74">
        <f t="shared" si="10"/>
        <v>0</v>
      </c>
      <c r="AB31" s="74">
        <f t="shared" si="10"/>
        <v>0</v>
      </c>
      <c r="AC31" s="74">
        <f t="shared" si="10"/>
        <v>0</v>
      </c>
      <c r="AD31" s="74">
        <f t="shared" si="10"/>
        <v>0</v>
      </c>
      <c r="AE31" s="74">
        <f t="shared" si="10"/>
        <v>0</v>
      </c>
    </row>
    <row r="32" spans="1:31" s="20" customFormat="1" ht="16.05" customHeight="1">
      <c r="A32" s="34" t="s">
        <v>80</v>
      </c>
      <c r="B32" s="78">
        <f>(B31*Projet!$C$4)+('Détails - Location nue'!B31*0.172)</f>
        <v>0</v>
      </c>
      <c r="C32" s="78">
        <f>(C31*Projet!$C$4)+('Détails - Location nue'!C31*0.172)</f>
        <v>0</v>
      </c>
      <c r="D32" s="78">
        <f>(D31*Projet!$C$4)+('Détails - Location nue'!D31*0.172)</f>
        <v>0</v>
      </c>
      <c r="E32" s="78">
        <f>(E31*Projet!$C$4)+('Détails - Location nue'!E31*0.172)</f>
        <v>0</v>
      </c>
      <c r="F32" s="78">
        <f>(F31*Projet!$C$4)+('Détails - Location nue'!F31*0.172)</f>
        <v>0</v>
      </c>
      <c r="G32" s="78">
        <f>(G31*Projet!$C$4)+('Détails - Location nue'!G31*0.172)</f>
        <v>0</v>
      </c>
      <c r="H32" s="78">
        <f>(H31*Projet!$C$4)+('Détails - Location nue'!H31*0.172)</f>
        <v>0</v>
      </c>
      <c r="I32" s="78">
        <f>(I31*Projet!$C$4)+('Détails - Location nue'!I31*0.172)</f>
        <v>0</v>
      </c>
      <c r="J32" s="78">
        <f>(J31*Projet!$C$4)+('Détails - Location nue'!J31*0.172)</f>
        <v>0</v>
      </c>
      <c r="K32" s="78">
        <f>(K31*Projet!$C$4)+('Détails - Location nue'!K31*0.172)</f>
        <v>0</v>
      </c>
      <c r="L32" s="78">
        <f>(L31*Projet!$C$4)+('Détails - Location nue'!L31*0.172)</f>
        <v>0</v>
      </c>
      <c r="M32" s="78">
        <f>(M31*Projet!$C$4)+('Détails - Location nue'!M31*0.172)</f>
        <v>0</v>
      </c>
      <c r="N32" s="78">
        <f>(N31*Projet!$C$4)+('Détails - Location nue'!N31*0.172)</f>
        <v>0</v>
      </c>
      <c r="O32" s="78">
        <f>(O31*Projet!$C$4)+('Détails - Location nue'!O31*0.172)</f>
        <v>0</v>
      </c>
      <c r="P32" s="78">
        <f>(P31*Projet!$C$4)+('Détails - Location nue'!P31*0.172)</f>
        <v>0</v>
      </c>
      <c r="Q32" s="78">
        <f>(Q31*Projet!$C$4)+('Détails - Location nue'!Q31*0.172)</f>
        <v>0</v>
      </c>
      <c r="R32" s="78">
        <f>(R31*Projet!$C$4)+('Détails - Location nue'!R31*0.172)</f>
        <v>0</v>
      </c>
      <c r="S32" s="78">
        <f>(S31*Projet!$C$4)+('Détails - Location nue'!S31*0.172)</f>
        <v>0</v>
      </c>
      <c r="T32" s="78">
        <f>(T31*Projet!$C$4)+('Détails - Location nue'!T31*0.172)</f>
        <v>0</v>
      </c>
      <c r="U32" s="78">
        <f>(U31*Projet!$C$4)+('Détails - Location nue'!U31*0.172)</f>
        <v>0</v>
      </c>
      <c r="V32" s="78">
        <f>(V31*Projet!$C$4)+('Détails - Location nue'!V31*0.172)</f>
        <v>0</v>
      </c>
      <c r="W32" s="78">
        <f>(W31*Projet!$C$4)+('Détails - Location nue'!W31*0.172)</f>
        <v>0</v>
      </c>
      <c r="X32" s="78">
        <f>(X31*Projet!$C$4)+('Détails - Location nue'!X31*0.172)</f>
        <v>0</v>
      </c>
      <c r="Y32" s="78">
        <f>(Y31*Projet!$C$4)+('Détails - Location nue'!Y31*0.172)</f>
        <v>0</v>
      </c>
      <c r="Z32" s="78">
        <f>(Z31*Projet!$C$4)+('Détails - Location nue'!Z31*0.172)</f>
        <v>0</v>
      </c>
      <c r="AA32" s="78">
        <f>(AA31*Projet!$C$4)+('Détails - Location nue'!AA31*0.172)</f>
        <v>0</v>
      </c>
      <c r="AB32" s="78">
        <f>(AB31*Projet!$C$4)+('Détails - Location nue'!AB31*0.172)</f>
        <v>0</v>
      </c>
      <c r="AC32" s="78">
        <f>(AC31*Projet!$C$4)+('Détails - Location nue'!AC31*0.172)</f>
        <v>0</v>
      </c>
      <c r="AD32" s="78">
        <f>(AD31*Projet!$C$4)+('Détails - Location nue'!AD31*0.172)</f>
        <v>0</v>
      </c>
      <c r="AE32" s="78">
        <f>(AE31*Projet!$C$4)+('Détails - Location nue'!AE31*0.172)</f>
        <v>0</v>
      </c>
    </row>
    <row r="33" spans="1:31" s="20" customFormat="1" ht="15" hidden="1" customHeight="1">
      <c r="A33" s="38"/>
      <c r="B33" s="56"/>
      <c r="C33" s="56"/>
      <c r="D33" s="56"/>
      <c r="E33" s="56"/>
      <c r="F33" s="56">
        <f>SUM(C32:F32)</f>
        <v>0</v>
      </c>
      <c r="G33" s="56"/>
      <c r="H33" s="56"/>
      <c r="I33" s="56"/>
      <c r="J33" s="56"/>
      <c r="K33" s="56">
        <f>SUM(B32:K32)</f>
        <v>0</v>
      </c>
      <c r="L33" s="56"/>
      <c r="M33" s="56"/>
      <c r="N33" s="56"/>
      <c r="O33" s="56"/>
      <c r="P33" s="56">
        <f>SUM(B32:P32)</f>
        <v>0</v>
      </c>
      <c r="Q33" s="56"/>
      <c r="R33" s="56"/>
      <c r="S33" s="56"/>
      <c r="T33" s="56"/>
      <c r="U33" s="56">
        <f>SUM(B32:U32)</f>
        <v>0</v>
      </c>
      <c r="V33" s="56"/>
      <c r="W33" s="56"/>
      <c r="X33" s="56"/>
      <c r="Y33" s="56"/>
      <c r="Z33" s="56">
        <f>SUM(B32:Z32)</f>
        <v>0</v>
      </c>
      <c r="AA33" s="56"/>
      <c r="AB33" s="56"/>
      <c r="AC33" s="56"/>
      <c r="AD33" s="56"/>
      <c r="AE33" s="56">
        <f>SUM(B32:AE32)</f>
        <v>0</v>
      </c>
    </row>
    <row r="34" spans="1:31" s="20" customFormat="1" ht="16.05" customHeight="1">
      <c r="A34" s="32" t="s">
        <v>77</v>
      </c>
      <c r="B34" s="51">
        <f t="shared" ref="B34:AE34" ca="1" si="11">B18-B32</f>
        <v>-16327.914652724703</v>
      </c>
      <c r="C34" s="51">
        <f t="shared" ca="1" si="11"/>
        <v>-16332.914652724703</v>
      </c>
      <c r="D34" s="51">
        <f t="shared" ca="1" si="11"/>
        <v>-16337.939652724703</v>
      </c>
      <c r="E34" s="51">
        <f t="shared" ca="1" si="11"/>
        <v>-16342.989777724702</v>
      </c>
      <c r="F34" s="51">
        <f t="shared" ca="1" si="11"/>
        <v>-16348.065153349702</v>
      </c>
      <c r="G34" s="51">
        <f t="shared" ca="1" si="11"/>
        <v>-16353.165905852828</v>
      </c>
      <c r="H34" s="51">
        <f t="shared" ca="1" si="11"/>
        <v>-16358.292162118469</v>
      </c>
      <c r="I34" s="51">
        <f t="shared" ca="1" si="11"/>
        <v>-16363.444049665437</v>
      </c>
      <c r="J34" s="51">
        <f t="shared" ca="1" si="11"/>
        <v>-16368.62169665014</v>
      </c>
      <c r="K34" s="51">
        <f t="shared" ca="1" si="11"/>
        <v>-16373.825231869767</v>
      </c>
      <c r="L34" s="51">
        <f t="shared" ca="1" si="11"/>
        <v>-16379.054784765493</v>
      </c>
      <c r="M34" s="51">
        <f t="shared" ca="1" si="11"/>
        <v>-16384.310485425696</v>
      </c>
      <c r="N34" s="51">
        <f t="shared" ca="1" si="11"/>
        <v>-16389.592464589201</v>
      </c>
      <c r="O34" s="51">
        <f t="shared" ca="1" si="11"/>
        <v>-16394.900853648523</v>
      </c>
      <c r="P34" s="51">
        <f t="shared" ca="1" si="11"/>
        <v>-16400.235784653141</v>
      </c>
      <c r="Q34" s="51">
        <f t="shared" ca="1" si="11"/>
        <v>-16405.597390312785</v>
      </c>
      <c r="R34" s="51">
        <f t="shared" ca="1" si="11"/>
        <v>-16410.985804000724</v>
      </c>
      <c r="S34" s="51">
        <f t="shared" ca="1" si="11"/>
        <v>-16416.401159757104</v>
      </c>
      <c r="T34" s="51">
        <f t="shared" ca="1" si="11"/>
        <v>-16421.843592292265</v>
      </c>
      <c r="U34" s="51">
        <f t="shared" ca="1" si="11"/>
        <v>-16427.313236990103</v>
      </c>
      <c r="V34" s="51">
        <f t="shared" ca="1" si="11"/>
        <v>-16432.810229911433</v>
      </c>
      <c r="W34" s="51">
        <f t="shared" ca="1" si="11"/>
        <v>-16438.334707797367</v>
      </c>
      <c r="X34" s="51">
        <f t="shared" ca="1" si="11"/>
        <v>-16443.88680807273</v>
      </c>
      <c r="Y34" s="51">
        <f t="shared" ca="1" si="11"/>
        <v>-16449.466668849469</v>
      </c>
      <c r="Z34" s="51">
        <f t="shared" ca="1" si="11"/>
        <v>-16455.074428930093</v>
      </c>
      <c r="AA34" s="51">
        <f t="shared" ca="1" si="11"/>
        <v>-16460.71022781112</v>
      </c>
      <c r="AB34" s="51">
        <f t="shared" ca="1" si="11"/>
        <v>-16466.374205686552</v>
      </c>
      <c r="AC34" s="51">
        <f t="shared" ca="1" si="11"/>
        <v>-16472.066503451359</v>
      </c>
      <c r="AD34" s="51">
        <f t="shared" ca="1" si="11"/>
        <v>-16477.787262704995</v>
      </c>
      <c r="AE34" s="51">
        <f t="shared" ca="1" si="11"/>
        <v>-16483.536625754896</v>
      </c>
    </row>
    <row r="35" spans="1:31" s="20" customFormat="1" ht="16.05" customHeight="1">
      <c r="A35" s="31" t="s">
        <v>82</v>
      </c>
      <c r="B35" s="52">
        <f ca="1">B34/12</f>
        <v>-1360.6595543937253</v>
      </c>
      <c r="C35" s="52">
        <f t="shared" ref="C35:AE35" ca="1" si="12">C34/12</f>
        <v>-1361.0762210603918</v>
      </c>
      <c r="D35" s="52">
        <f t="shared" ca="1" si="12"/>
        <v>-1361.4949710603919</v>
      </c>
      <c r="E35" s="52">
        <f t="shared" ca="1" si="12"/>
        <v>-1361.9158148103918</v>
      </c>
      <c r="F35" s="52">
        <f t="shared" ca="1" si="12"/>
        <v>-1362.3387627791419</v>
      </c>
      <c r="G35" s="52">
        <f t="shared" ca="1" si="12"/>
        <v>-1362.7638254877356</v>
      </c>
      <c r="H35" s="52">
        <f t="shared" ca="1" si="12"/>
        <v>-1363.1910135098724</v>
      </c>
      <c r="I35" s="52">
        <f t="shared" ca="1" si="12"/>
        <v>-1363.6203374721197</v>
      </c>
      <c r="J35" s="52">
        <f t="shared" ca="1" si="12"/>
        <v>-1364.0518080541783</v>
      </c>
      <c r="K35" s="52">
        <f t="shared" ca="1" si="12"/>
        <v>-1364.4854359891472</v>
      </c>
      <c r="L35" s="52">
        <f t="shared" ca="1" si="12"/>
        <v>-1364.921232063791</v>
      </c>
      <c r="M35" s="52">
        <f t="shared" ca="1" si="12"/>
        <v>-1365.3592071188079</v>
      </c>
      <c r="N35" s="52">
        <f t="shared" ca="1" si="12"/>
        <v>-1365.7993720491002</v>
      </c>
      <c r="O35" s="52">
        <f t="shared" ca="1" si="12"/>
        <v>-1366.2417378040436</v>
      </c>
      <c r="P35" s="52">
        <f t="shared" ca="1" si="12"/>
        <v>-1366.6863153877619</v>
      </c>
      <c r="Q35" s="52">
        <f t="shared" ca="1" si="12"/>
        <v>-1367.1331158593987</v>
      </c>
      <c r="R35" s="52">
        <f t="shared" ca="1" si="12"/>
        <v>-1367.5821503333937</v>
      </c>
      <c r="S35" s="52">
        <f t="shared" ca="1" si="12"/>
        <v>-1368.0334299797587</v>
      </c>
      <c r="T35" s="52">
        <f t="shared" ca="1" si="12"/>
        <v>-1368.4869660243555</v>
      </c>
      <c r="U35" s="52">
        <f t="shared" ca="1" si="12"/>
        <v>-1368.9427697491753</v>
      </c>
      <c r="V35" s="52">
        <f t="shared" ca="1" si="12"/>
        <v>-1369.4008524926194</v>
      </c>
      <c r="W35" s="52">
        <f t="shared" ca="1" si="12"/>
        <v>-1369.8612256497806</v>
      </c>
      <c r="X35" s="52">
        <f t="shared" ca="1" si="12"/>
        <v>-1370.3239006727274</v>
      </c>
      <c r="Y35" s="52">
        <f t="shared" ca="1" si="12"/>
        <v>-1370.7888890707891</v>
      </c>
      <c r="Z35" s="52">
        <f t="shared" ca="1" si="12"/>
        <v>-1371.2562024108411</v>
      </c>
      <c r="AA35" s="52">
        <f t="shared" ca="1" si="12"/>
        <v>-1371.7258523175933</v>
      </c>
      <c r="AB35" s="52">
        <f t="shared" ca="1" si="12"/>
        <v>-1372.1978504738793</v>
      </c>
      <c r="AC35" s="52">
        <f t="shared" ca="1" si="12"/>
        <v>-1372.6722086209465</v>
      </c>
      <c r="AD35" s="52">
        <f t="shared" ca="1" si="12"/>
        <v>-1373.1489385587495</v>
      </c>
      <c r="AE35" s="52">
        <f t="shared" ca="1" si="12"/>
        <v>-1373.6280521462413</v>
      </c>
    </row>
    <row r="36" spans="1:31" s="25" customFormat="1" ht="14" customHeight="1">
      <c r="A36" s="44" t="s">
        <v>54</v>
      </c>
      <c r="B36" s="77">
        <f t="shared" ref="B36:AE36" si="13">(B8-B13-B14-B15-B16-B32)/$B$3</f>
        <v>-4.2371480942579014E-3</v>
      </c>
      <c r="C36" s="77">
        <f t="shared" si="13"/>
        <v>-4.2583338347291907E-3</v>
      </c>
      <c r="D36" s="77">
        <f t="shared" si="13"/>
        <v>-4.2796255039028357E-3</v>
      </c>
      <c r="E36" s="77">
        <f t="shared" si="13"/>
        <v>-4.3010236314223495E-3</v>
      </c>
      <c r="F36" s="77">
        <f t="shared" si="13"/>
        <v>-4.322528749579461E-3</v>
      </c>
      <c r="G36" s="77">
        <f t="shared" si="13"/>
        <v>-4.3441413933273569E-3</v>
      </c>
      <c r="H36" s="77">
        <f t="shared" si="13"/>
        <v>-4.3658621002939935E-3</v>
      </c>
      <c r="I36" s="77">
        <f t="shared" si="13"/>
        <v>-4.3876914107954627E-3</v>
      </c>
      <c r="J36" s="77">
        <f t="shared" si="13"/>
        <v>-4.4096298678494399E-3</v>
      </c>
      <c r="K36" s="77">
        <f t="shared" si="13"/>
        <v>-4.4316780171886868E-3</v>
      </c>
      <c r="L36" s="77">
        <f t="shared" si="13"/>
        <v>-4.4538364072746299E-3</v>
      </c>
      <c r="M36" s="77">
        <f t="shared" si="13"/>
        <v>-4.4761055893110021E-3</v>
      </c>
      <c r="N36" s="77">
        <f t="shared" si="13"/>
        <v>-4.4984861172575573E-3</v>
      </c>
      <c r="O36" s="77">
        <f t="shared" si="13"/>
        <v>-4.5209785478438442E-3</v>
      </c>
      <c r="P36" s="77">
        <f t="shared" si="13"/>
        <v>-4.5435834405830626E-3</v>
      </c>
      <c r="Q36" s="77">
        <f t="shared" si="13"/>
        <v>-4.5663013577859771E-3</v>
      </c>
      <c r="R36" s="77">
        <f t="shared" si="13"/>
        <v>-4.5891328645749066E-3</v>
      </c>
      <c r="S36" s="77">
        <f t="shared" si="13"/>
        <v>-4.612078528897781E-3</v>
      </c>
      <c r="T36" s="77">
        <f t="shared" si="13"/>
        <v>-4.6351389215422692E-3</v>
      </c>
      <c r="U36" s="77">
        <f t="shared" si="13"/>
        <v>-4.6583146161499811E-3</v>
      </c>
      <c r="V36" s="77">
        <f t="shared" si="13"/>
        <v>-4.6816061892307297E-3</v>
      </c>
      <c r="W36" s="77">
        <f t="shared" si="13"/>
        <v>-4.7050142201768832E-3</v>
      </c>
      <c r="X36" s="77">
        <f t="shared" si="13"/>
        <v>-4.728539291277767E-3</v>
      </c>
      <c r="Y36" s="77">
        <f t="shared" si="13"/>
        <v>-4.7521819877341552E-3</v>
      </c>
      <c r="Z36" s="77">
        <f t="shared" si="13"/>
        <v>-4.775942897672825E-3</v>
      </c>
      <c r="AA36" s="77">
        <f t="shared" si="13"/>
        <v>-4.7998226121611885E-3</v>
      </c>
      <c r="AB36" s="77">
        <f t="shared" si="13"/>
        <v>-4.8238217252219943E-3</v>
      </c>
      <c r="AC36" s="77">
        <f t="shared" si="13"/>
        <v>-4.8479408338481045E-3</v>
      </c>
      <c r="AD36" s="77">
        <f t="shared" si="13"/>
        <v>-4.8721805380173436E-3</v>
      </c>
      <c r="AE36" s="77">
        <f t="shared" si="13"/>
        <v>-4.8965414407074305E-3</v>
      </c>
    </row>
    <row r="37" spans="1:31" s="20" customFormat="1" ht="17" hidden="1" customHeight="1">
      <c r="A37" s="31" t="s">
        <v>83</v>
      </c>
      <c r="B37" s="52"/>
      <c r="C37" s="52"/>
      <c r="D37" s="52"/>
      <c r="E37" s="52"/>
      <c r="F37" s="79">
        <f>AVERAGE(C36:F36)</f>
        <v>-4.290377929908459E-3</v>
      </c>
      <c r="G37" s="52"/>
      <c r="H37" s="52"/>
      <c r="I37" s="52"/>
      <c r="J37" s="52"/>
      <c r="K37" s="79">
        <f>AVERAGE(B36:K36)</f>
        <v>-4.3337662603346681E-3</v>
      </c>
      <c r="L37" s="52"/>
      <c r="M37" s="52"/>
      <c r="N37" s="52"/>
      <c r="O37" s="52"/>
      <c r="P37" s="79">
        <f>AVERAGE(B36:P36)</f>
        <v>-4.388710180374452E-3</v>
      </c>
      <c r="Q37" s="52"/>
      <c r="R37" s="52"/>
      <c r="S37" s="52"/>
      <c r="T37" s="52"/>
      <c r="U37" s="79">
        <f>AVERAGE(B36:U36)</f>
        <v>-4.4445809497283845E-3</v>
      </c>
      <c r="V37" s="52"/>
      <c r="W37" s="52"/>
      <c r="X37" s="52"/>
      <c r="Y37" s="52"/>
      <c r="Z37" s="79">
        <f>AVERAGE(B36:Z36)</f>
        <v>-4.5013961432264025E-3</v>
      </c>
      <c r="AA37" s="52"/>
      <c r="AB37" s="52"/>
      <c r="AC37" s="52"/>
      <c r="AD37" s="52"/>
      <c r="AE37" s="79">
        <f>AVERAGE(B36:AE36)</f>
        <v>-4.5591736910205374E-3</v>
      </c>
    </row>
    <row r="38" spans="1:31" s="39" customFormat="1" ht="17" customHeight="1">
      <c r="A38" s="40" t="s">
        <v>40</v>
      </c>
      <c r="B38" s="63" t="s">
        <v>55</v>
      </c>
      <c r="C38" s="64" t="s">
        <v>41</v>
      </c>
      <c r="D38" s="64" t="s">
        <v>42</v>
      </c>
      <c r="E38" s="64" t="s">
        <v>43</v>
      </c>
      <c r="F38" s="64" t="s">
        <v>44</v>
      </c>
      <c r="G38" s="64" t="s">
        <v>45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ht="17" customHeight="1">
      <c r="A39" s="83"/>
      <c r="B39" s="65"/>
      <c r="C39" s="65"/>
      <c r="D39" s="65"/>
      <c r="E39" s="65"/>
      <c r="F39" s="65"/>
      <c r="G39" s="66"/>
    </row>
    <row r="40" spans="1:31" ht="17" customHeight="1">
      <c r="A40" s="83"/>
      <c r="B40" s="65"/>
      <c r="C40" s="65"/>
      <c r="D40" s="65"/>
      <c r="E40" s="65"/>
      <c r="F40" s="65"/>
      <c r="G40" s="66"/>
    </row>
    <row r="41" spans="1:31" ht="17" customHeight="1">
      <c r="A41" s="84"/>
      <c r="B41" s="65"/>
      <c r="C41" s="65"/>
      <c r="D41" s="67"/>
      <c r="E41" s="65"/>
      <c r="F41" s="65"/>
      <c r="G41" s="66"/>
    </row>
    <row r="42" spans="1:31" ht="17" customHeight="1">
      <c r="A42" s="84"/>
      <c r="B42" s="65"/>
      <c r="C42" s="65"/>
      <c r="D42" s="65"/>
      <c r="E42" s="65"/>
      <c r="F42" s="65"/>
      <c r="G42" s="66"/>
    </row>
    <row r="43" spans="1:31" ht="17" customHeight="1">
      <c r="A43" s="84"/>
      <c r="B43" s="65"/>
      <c r="C43" s="65"/>
      <c r="D43" s="65"/>
      <c r="E43" s="65"/>
      <c r="F43" s="65"/>
      <c r="G43" s="66"/>
    </row>
    <row r="44" spans="1:31" ht="17" customHeight="1">
      <c r="A44" s="84"/>
      <c r="B44" s="65"/>
      <c r="C44" s="65"/>
      <c r="D44" s="65"/>
      <c r="E44" s="65"/>
      <c r="F44" s="65"/>
      <c r="G44" s="66"/>
    </row>
    <row r="45" spans="1:31" ht="17" customHeight="1">
      <c r="A45" s="84"/>
      <c r="B45" s="65"/>
      <c r="C45" s="65"/>
      <c r="D45" s="65"/>
      <c r="E45" s="65"/>
      <c r="F45" s="65"/>
      <c r="G45" s="66"/>
    </row>
    <row r="46" spans="1:31" ht="17" customHeight="1">
      <c r="A46" s="84"/>
      <c r="B46" s="65"/>
      <c r="C46" s="65"/>
      <c r="D46" s="65"/>
      <c r="E46" s="65"/>
      <c r="F46" s="65"/>
      <c r="G46" s="66"/>
    </row>
    <row r="47" spans="1:31" ht="17" customHeight="1">
      <c r="A47" s="84"/>
      <c r="B47" s="65"/>
      <c r="C47" s="65"/>
      <c r="D47" s="65"/>
      <c r="E47" s="65"/>
      <c r="F47" s="65"/>
      <c r="G47" s="66"/>
    </row>
    <row r="48" spans="1:31" ht="17" customHeight="1">
      <c r="A48" s="84"/>
      <c r="B48" s="65"/>
      <c r="C48" s="65"/>
      <c r="D48" s="65"/>
      <c r="E48" s="65"/>
      <c r="F48" s="65"/>
      <c r="G48" s="66"/>
    </row>
    <row r="49" spans="1:7" ht="17" customHeight="1">
      <c r="A49" s="84"/>
      <c r="B49" s="65"/>
      <c r="C49" s="65"/>
      <c r="D49" s="65"/>
      <c r="E49" s="65"/>
      <c r="F49" s="65"/>
      <c r="G49" s="66"/>
    </row>
    <row r="50" spans="1:7" ht="17" customHeight="1">
      <c r="A50" s="84"/>
      <c r="B50" s="65"/>
      <c r="C50" s="65"/>
      <c r="D50" s="65"/>
      <c r="E50" s="65"/>
      <c r="F50" s="65"/>
      <c r="G50" s="66"/>
    </row>
    <row r="51" spans="1:7" ht="17" customHeight="1">
      <c r="A51" s="84"/>
      <c r="B51" s="65"/>
      <c r="C51" s="65"/>
      <c r="D51" s="65"/>
      <c r="E51" s="65"/>
      <c r="F51" s="65"/>
      <c r="G51" s="66"/>
    </row>
    <row r="52" spans="1:7" ht="17" customHeight="1">
      <c r="A52" s="84"/>
      <c r="B52" s="65"/>
      <c r="C52" s="65"/>
      <c r="D52" s="65"/>
      <c r="E52" s="65"/>
      <c r="F52" s="65"/>
      <c r="G52" s="66"/>
    </row>
    <row r="53" spans="1:7" ht="17" customHeight="1">
      <c r="A53" s="84"/>
      <c r="B53" s="65"/>
      <c r="C53" s="65"/>
      <c r="D53" s="65"/>
      <c r="E53" s="65"/>
      <c r="F53" s="65"/>
      <c r="G53" s="66"/>
    </row>
    <row r="54" spans="1:7" ht="17" customHeight="1">
      <c r="A54" s="84"/>
      <c r="B54" s="65"/>
      <c r="C54" s="65"/>
      <c r="D54" s="65"/>
      <c r="E54" s="65"/>
      <c r="F54" s="65"/>
      <c r="G54" s="66"/>
    </row>
    <row r="55" spans="1:7" ht="17" customHeight="1">
      <c r="A55" s="84"/>
      <c r="B55" s="65"/>
      <c r="C55" s="65"/>
      <c r="D55" s="65"/>
      <c r="E55" s="65"/>
      <c r="F55" s="65"/>
      <c r="G55" s="66"/>
    </row>
    <row r="56" spans="1:7" ht="17" customHeight="1">
      <c r="A56" s="84"/>
      <c r="B56" s="65"/>
      <c r="C56" s="65"/>
      <c r="D56" s="65"/>
      <c r="E56" s="65"/>
      <c r="F56" s="65"/>
      <c r="G56" s="66"/>
    </row>
    <row r="57" spans="1:7" ht="17" customHeight="1">
      <c r="A57" s="84"/>
      <c r="B57" s="65"/>
      <c r="C57" s="65"/>
      <c r="D57" s="65"/>
      <c r="E57" s="65"/>
      <c r="F57" s="65"/>
      <c r="G57" s="66"/>
    </row>
    <row r="58" spans="1:7" ht="17" customHeight="1">
      <c r="A58" s="84"/>
      <c r="B58" s="65"/>
      <c r="C58" s="65"/>
      <c r="D58" s="65"/>
      <c r="E58" s="65"/>
      <c r="F58" s="65"/>
      <c r="G58" s="66"/>
    </row>
    <row r="59" spans="1:7" ht="17" customHeight="1">
      <c r="A59" s="84"/>
      <c r="B59" s="65"/>
      <c r="C59" s="65"/>
      <c r="D59" s="65"/>
      <c r="E59" s="65"/>
      <c r="F59" s="65"/>
      <c r="G59" s="66"/>
    </row>
    <row r="60" spans="1:7" ht="17" customHeight="1">
      <c r="A60" s="84"/>
      <c r="B60" s="65"/>
      <c r="C60" s="65"/>
      <c r="D60" s="65"/>
      <c r="E60" s="65"/>
      <c r="F60" s="65"/>
      <c r="G60" s="66"/>
    </row>
    <row r="61" spans="1:7" ht="17" customHeight="1">
      <c r="A61" s="84"/>
      <c r="B61" s="65"/>
      <c r="C61" s="65"/>
      <c r="D61" s="65"/>
      <c r="E61" s="65"/>
      <c r="F61" s="65"/>
      <c r="G61" s="66"/>
    </row>
    <row r="62" spans="1:7" ht="17" customHeight="1">
      <c r="A62" s="84" t="str">
        <f>IFERROR(IF(Prêt_Non_Payé*Valeurs_Entrées,Numéro_Paiement,""), "")</f>
        <v/>
      </c>
      <c r="B62" s="65" t="str">
        <f>IFERROR(IF(Prêt_Non_Payé*Valeurs_Entrées,Début_Solde,""), "")</f>
        <v/>
      </c>
      <c r="C62" s="65" t="str">
        <f>IFERROR(IF(Prêt_Non_Payé*Valeurs_Entrées,Mensualité,""), "")</f>
        <v/>
      </c>
      <c r="D62" s="65" t="str">
        <f>IFERROR(IF(Prêt_Non_Payé*Valeurs_Entrées,Capital,""), "")</f>
        <v/>
      </c>
      <c r="E62" s="65" t="str">
        <f>IFERROR(IF(Prêt_Non_Payé*Valeurs_Entrées,Intérêts,""), "")</f>
        <v/>
      </c>
      <c r="F62" s="65" t="str">
        <f>IFERROR(IF(Prêt_Non_Payé*Valeurs_Entrées,Fin_Solde,""), "")</f>
        <v/>
      </c>
      <c r="G62" s="66"/>
    </row>
    <row r="63" spans="1:7" ht="17" customHeight="1">
      <c r="A63" s="84" t="str">
        <f>IFERROR(IF(Prêt_Non_Payé*Valeurs_Entrées,Numéro_Paiement,""), "")</f>
        <v/>
      </c>
      <c r="B63" s="65" t="str">
        <f>IFERROR(IF(Prêt_Non_Payé*Valeurs_Entrées,Début_Solde,""), "")</f>
        <v/>
      </c>
      <c r="C63" s="65" t="str">
        <f>IFERROR(IF(Prêt_Non_Payé*Valeurs_Entrées,Mensualité,""), "")</f>
        <v/>
      </c>
      <c r="D63" s="65" t="str">
        <f>IFERROR(IF(Prêt_Non_Payé*Valeurs_Entrées,Capital,""), "")</f>
        <v/>
      </c>
      <c r="E63" s="65" t="str">
        <f>IFERROR(IF(Prêt_Non_Payé*Valeurs_Entrées,Intérêts,""), "")</f>
        <v/>
      </c>
      <c r="F63" s="65" t="str">
        <f>IFERROR(IF(Prêt_Non_Payé*Valeurs_Entrées,Fin_Solde,""), "")</f>
        <v/>
      </c>
      <c r="G63" s="66"/>
    </row>
    <row r="64" spans="1:7" ht="17" customHeight="1">
      <c r="A64" s="84" t="str">
        <f>IFERROR(IF(Prêt_Non_Payé*Valeurs_Entrées,Numéro_Paiement,""), "")</f>
        <v/>
      </c>
      <c r="B64" s="65" t="str">
        <f>IFERROR(IF(Prêt_Non_Payé*Valeurs_Entrées,Début_Solde,""), "")</f>
        <v/>
      </c>
      <c r="C64" s="65" t="str">
        <f>IFERROR(IF(Prêt_Non_Payé*Valeurs_Entrées,Mensualité,""), "")</f>
        <v/>
      </c>
      <c r="D64" s="65" t="str">
        <f>IFERROR(IF(Prêt_Non_Payé*Valeurs_Entrées,Capital,""), "")</f>
        <v/>
      </c>
      <c r="E64" s="65" t="str">
        <f>IFERROR(IF(Prêt_Non_Payé*Valeurs_Entrées,Intérêts,""), "")</f>
        <v/>
      </c>
      <c r="F64" s="65" t="str">
        <f>IFERROR(IF(Prêt_Non_Payé*Valeurs_Entrées,Fin_Solde,""), "")</f>
        <v/>
      </c>
      <c r="G64" s="68"/>
    </row>
    <row r="65" spans="1:7" ht="17" customHeight="1">
      <c r="A65" s="84" t="str">
        <f>IFERROR(IF(Prêt_Non_Payé*Valeurs_Entrées,Numéro_Paiement,""), "")</f>
        <v/>
      </c>
      <c r="B65" s="65" t="str">
        <f>IFERROR(IF(Prêt_Non_Payé*Valeurs_Entrées,Début_Solde,""), "")</f>
        <v/>
      </c>
      <c r="C65" s="65" t="str">
        <f>IFERROR(IF(Prêt_Non_Payé*Valeurs_Entrées,Mensualité,""), "")</f>
        <v/>
      </c>
      <c r="D65" s="65" t="str">
        <f>IFERROR(IF(Prêt_Non_Payé*Valeurs_Entrées,Capital,""), "")</f>
        <v/>
      </c>
      <c r="E65" s="65" t="str">
        <f>IFERROR(IF(Prêt_Non_Payé*Valeurs_Entrées,Intérêts,""), "")</f>
        <v/>
      </c>
      <c r="F65" s="65" t="str">
        <f>IFERROR(IF(Prêt_Non_Payé*Valeurs_Entrées,Fin_Solde,""), "")</f>
        <v/>
      </c>
      <c r="G65" s="68"/>
    </row>
    <row r="66" spans="1:7" ht="17" customHeight="1">
      <c r="A66" s="84" t="str">
        <f>IFERROR(IF(Prêt_Non_Payé*Valeurs_Entrées,Numéro_Paiement,""), "")</f>
        <v/>
      </c>
      <c r="B66" s="65" t="str">
        <f>IFERROR(IF(Prêt_Non_Payé*Valeurs_Entrées,Début_Solde,""), "")</f>
        <v/>
      </c>
      <c r="C66" s="65" t="str">
        <f>IFERROR(IF(Prêt_Non_Payé*Valeurs_Entrées,Mensualité,""), "")</f>
        <v/>
      </c>
      <c r="D66" s="65" t="str">
        <f>IFERROR(IF(Prêt_Non_Payé*Valeurs_Entrées,Capital,""), "")</f>
        <v/>
      </c>
      <c r="E66" s="65" t="str">
        <f>IFERROR(IF(Prêt_Non_Payé*Valeurs_Entrées,Intérêts,""), "")</f>
        <v/>
      </c>
      <c r="F66" s="65" t="str">
        <f>IFERROR(IF(Prêt_Non_Payé*Valeurs_Entrées,Fin_Solde,""), "")</f>
        <v/>
      </c>
      <c r="G66" s="68"/>
    </row>
    <row r="67" spans="1:7" ht="17" customHeight="1">
      <c r="A67" s="84" t="str">
        <f>IFERROR(IF(Prêt_Non_Payé*Valeurs_Entrées,Numéro_Paiement,""), "")</f>
        <v/>
      </c>
      <c r="B67" s="65" t="str">
        <f>IFERROR(IF(Prêt_Non_Payé*Valeurs_Entrées,Début_Solde,""), "")</f>
        <v/>
      </c>
      <c r="C67" s="65" t="str">
        <f>IFERROR(IF(Prêt_Non_Payé*Valeurs_Entrées,Mensualité,""), "")</f>
        <v/>
      </c>
      <c r="D67" s="65" t="str">
        <f>IFERROR(IF(Prêt_Non_Payé*Valeurs_Entrées,Capital,""), "")</f>
        <v/>
      </c>
      <c r="E67" s="65" t="str">
        <f>IFERROR(IF(Prêt_Non_Payé*Valeurs_Entrées,Intérêts,""), "")</f>
        <v/>
      </c>
      <c r="F67" s="65" t="str">
        <f>IFERROR(IF(Prêt_Non_Payé*Valeurs_Entrées,Fin_Solde,""), "")</f>
        <v/>
      </c>
      <c r="G67" s="68"/>
    </row>
    <row r="68" spans="1:7" ht="17" customHeight="1">
      <c r="A68" s="84" t="str">
        <f>IFERROR(IF(Prêt_Non_Payé*Valeurs_Entrées,Numéro_Paiement,""), "")</f>
        <v/>
      </c>
      <c r="B68" s="65" t="str">
        <f>IFERROR(IF(Prêt_Non_Payé*Valeurs_Entrées,Début_Solde,""), "")</f>
        <v/>
      </c>
      <c r="C68" s="65" t="str">
        <f>IFERROR(IF(Prêt_Non_Payé*Valeurs_Entrées,Mensualité,""), "")</f>
        <v/>
      </c>
      <c r="D68" s="65" t="str">
        <f>IFERROR(IF(Prêt_Non_Payé*Valeurs_Entrées,Capital,""), "")</f>
        <v/>
      </c>
      <c r="E68" s="65" t="str">
        <f>IFERROR(IF(Prêt_Non_Payé*Valeurs_Entrées,Intérêts,""), "")</f>
        <v/>
      </c>
      <c r="F68" s="65" t="str">
        <f>IFERROR(IF(Prêt_Non_Payé*Valeurs_Entrées,Fin_Solde,""), "")</f>
        <v/>
      </c>
      <c r="G68" s="68"/>
    </row>
    <row r="69" spans="1:7" ht="17" customHeight="1">
      <c r="A69" s="84" t="str">
        <f>IFERROR(IF(Prêt_Non_Payé*Valeurs_Entrées,Numéro_Paiement,""), "")</f>
        <v/>
      </c>
      <c r="B69" s="65" t="str">
        <f>IFERROR(IF(Prêt_Non_Payé*Valeurs_Entrées,Début_Solde,""), "")</f>
        <v/>
      </c>
      <c r="C69" s="65" t="str">
        <f>IFERROR(IF(Prêt_Non_Payé*Valeurs_Entrées,Mensualité,""), "")</f>
        <v/>
      </c>
      <c r="D69" s="65" t="str">
        <f>IFERROR(IF(Prêt_Non_Payé*Valeurs_Entrées,Capital,""), "")</f>
        <v/>
      </c>
      <c r="E69" s="65" t="str">
        <f>IFERROR(IF(Prêt_Non_Payé*Valeurs_Entrées,Intérêts,""), "")</f>
        <v/>
      </c>
      <c r="F69" s="65" t="str">
        <f>IFERROR(IF(Prêt_Non_Payé*Valeurs_Entrées,Fin_Solde,""), "")</f>
        <v/>
      </c>
      <c r="G69" s="68"/>
    </row>
    <row r="70" spans="1:7" ht="17" customHeight="1">
      <c r="A70" s="84" t="str">
        <f>IFERROR(IF(Prêt_Non_Payé*Valeurs_Entrées,Numéro_Paiement,""), "")</f>
        <v/>
      </c>
      <c r="B70" s="65" t="str">
        <f>IFERROR(IF(Prêt_Non_Payé*Valeurs_Entrées,Début_Solde,""), "")</f>
        <v/>
      </c>
      <c r="C70" s="65" t="str">
        <f>IFERROR(IF(Prêt_Non_Payé*Valeurs_Entrées,Mensualité,""), "")</f>
        <v/>
      </c>
      <c r="D70" s="65" t="str">
        <f>IFERROR(IF(Prêt_Non_Payé*Valeurs_Entrées,Capital,""), "")</f>
        <v/>
      </c>
      <c r="E70" s="65" t="str">
        <f>IFERROR(IF(Prêt_Non_Payé*Valeurs_Entrées,Intérêts,""), "")</f>
        <v/>
      </c>
      <c r="F70" s="65" t="str">
        <f>IFERROR(IF(Prêt_Non_Payé*Valeurs_Entrées,Fin_Solde,""), "")</f>
        <v/>
      </c>
      <c r="G70" s="68"/>
    </row>
    <row r="71" spans="1:7" ht="17" customHeight="1">
      <c r="A71" s="84" t="str">
        <f>IFERROR(IF(Prêt_Non_Payé*Valeurs_Entrées,Numéro_Paiement,""), "")</f>
        <v/>
      </c>
      <c r="B71" s="65" t="str">
        <f>IFERROR(IF(Prêt_Non_Payé*Valeurs_Entrées,Début_Solde,""), "")</f>
        <v/>
      </c>
      <c r="C71" s="65" t="str">
        <f>IFERROR(IF(Prêt_Non_Payé*Valeurs_Entrées,Mensualité,""), "")</f>
        <v/>
      </c>
      <c r="D71" s="65" t="str">
        <f>IFERROR(IF(Prêt_Non_Payé*Valeurs_Entrées,Capital,""), "")</f>
        <v/>
      </c>
      <c r="E71" s="65" t="str">
        <f>IFERROR(IF(Prêt_Non_Payé*Valeurs_Entrées,Intérêts,""), "")</f>
        <v/>
      </c>
      <c r="F71" s="65" t="str">
        <f>IFERROR(IF(Prêt_Non_Payé*Valeurs_Entrées,Fin_Solde,""), "")</f>
        <v/>
      </c>
      <c r="G71" s="68"/>
    </row>
    <row r="72" spans="1:7" ht="17" customHeight="1">
      <c r="A72" s="84" t="str">
        <f>IFERROR(IF(Prêt_Non_Payé*Valeurs_Entrées,Numéro_Paiement,""), "")</f>
        <v/>
      </c>
      <c r="B72" s="65" t="str">
        <f>IFERROR(IF(Prêt_Non_Payé*Valeurs_Entrées,Début_Solde,""), "")</f>
        <v/>
      </c>
      <c r="C72" s="65" t="str">
        <f>IFERROR(IF(Prêt_Non_Payé*Valeurs_Entrées,Mensualité,""), "")</f>
        <v/>
      </c>
      <c r="D72" s="65" t="str">
        <f>IFERROR(IF(Prêt_Non_Payé*Valeurs_Entrées,Capital,""), "")</f>
        <v/>
      </c>
      <c r="E72" s="65" t="str">
        <f>IFERROR(IF(Prêt_Non_Payé*Valeurs_Entrées,Intérêts,""), "")</f>
        <v/>
      </c>
      <c r="F72" s="65" t="str">
        <f>IFERROR(IF(Prêt_Non_Payé*Valeurs_Entrées,Fin_Solde,""), "")</f>
        <v/>
      </c>
      <c r="G72" s="68"/>
    </row>
    <row r="73" spans="1:7" ht="17" customHeight="1">
      <c r="A73" s="84" t="str">
        <f>IFERROR(IF(Prêt_Non_Payé*Valeurs_Entrées,Numéro_Paiement,""), "")</f>
        <v/>
      </c>
      <c r="B73" s="65" t="str">
        <f>IFERROR(IF(Prêt_Non_Payé*Valeurs_Entrées,Début_Solde,""), "")</f>
        <v/>
      </c>
      <c r="C73" s="65" t="str">
        <f>IFERROR(IF(Prêt_Non_Payé*Valeurs_Entrées,Mensualité,""), "")</f>
        <v/>
      </c>
      <c r="D73" s="65" t="str">
        <f>IFERROR(IF(Prêt_Non_Payé*Valeurs_Entrées,Capital,""), "")</f>
        <v/>
      </c>
      <c r="E73" s="65" t="str">
        <f>IFERROR(IF(Prêt_Non_Payé*Valeurs_Entrées,Intérêts,""), "")</f>
        <v/>
      </c>
      <c r="F73" s="65" t="str">
        <f>IFERROR(IF(Prêt_Non_Payé*Valeurs_Entrées,Fin_Solde,""), "")</f>
        <v/>
      </c>
      <c r="G73" s="68"/>
    </row>
    <row r="74" spans="1:7" ht="17" customHeight="1">
      <c r="A74" s="84" t="str">
        <f>IFERROR(IF(Prêt_Non_Payé*Valeurs_Entrées,Numéro_Paiement,""), "")</f>
        <v/>
      </c>
      <c r="B74" s="65" t="str">
        <f>IFERROR(IF(Prêt_Non_Payé*Valeurs_Entrées,Début_Solde,""), "")</f>
        <v/>
      </c>
      <c r="C74" s="65" t="str">
        <f>IFERROR(IF(Prêt_Non_Payé*Valeurs_Entrées,Mensualité,""), "")</f>
        <v/>
      </c>
      <c r="D74" s="65" t="str">
        <f>IFERROR(IF(Prêt_Non_Payé*Valeurs_Entrées,Capital,""), "")</f>
        <v/>
      </c>
      <c r="E74" s="65" t="str">
        <f>IFERROR(IF(Prêt_Non_Payé*Valeurs_Entrées,Intérêts,""), "")</f>
        <v/>
      </c>
      <c r="F74" s="65" t="str">
        <f>IFERROR(IF(Prêt_Non_Payé*Valeurs_Entrées,Fin_Solde,""), "")</f>
        <v/>
      </c>
      <c r="G74" s="68"/>
    </row>
    <row r="75" spans="1:7" ht="17" customHeight="1">
      <c r="A75" s="84" t="str">
        <f>IFERROR(IF(Prêt_Non_Payé*Valeurs_Entrées,Numéro_Paiement,""), "")</f>
        <v/>
      </c>
      <c r="B75" s="65" t="str">
        <f>IFERROR(IF(Prêt_Non_Payé*Valeurs_Entrées,Début_Solde,""), "")</f>
        <v/>
      </c>
      <c r="C75" s="65" t="str">
        <f>IFERROR(IF(Prêt_Non_Payé*Valeurs_Entrées,Mensualité,""), "")</f>
        <v/>
      </c>
      <c r="D75" s="65" t="str">
        <f>IFERROR(IF(Prêt_Non_Payé*Valeurs_Entrées,Capital,""), "")</f>
        <v/>
      </c>
      <c r="E75" s="65" t="str">
        <f>IFERROR(IF(Prêt_Non_Payé*Valeurs_Entrées,Intérêts,""), "")</f>
        <v/>
      </c>
      <c r="F75" s="65" t="str">
        <f>IFERROR(IF(Prêt_Non_Payé*Valeurs_Entrées,Fin_Solde,""), "")</f>
        <v/>
      </c>
      <c r="G75" s="68"/>
    </row>
    <row r="76" spans="1:7" ht="17" customHeight="1">
      <c r="A76" s="84" t="str">
        <f>IFERROR(IF(Prêt_Non_Payé*Valeurs_Entrées,Numéro_Paiement,""), "")</f>
        <v/>
      </c>
      <c r="B76" s="65" t="str">
        <f>IFERROR(IF(Prêt_Non_Payé*Valeurs_Entrées,Début_Solde,""), "")</f>
        <v/>
      </c>
      <c r="C76" s="65" t="str">
        <f>IFERROR(IF(Prêt_Non_Payé*Valeurs_Entrées,Mensualité,""), "")</f>
        <v/>
      </c>
      <c r="D76" s="65" t="str">
        <f>IFERROR(IF(Prêt_Non_Payé*Valeurs_Entrées,Capital,""), "")</f>
        <v/>
      </c>
      <c r="E76" s="65" t="str">
        <f>IFERROR(IF(Prêt_Non_Payé*Valeurs_Entrées,Intérêts,""), "")</f>
        <v/>
      </c>
      <c r="F76" s="65" t="str">
        <f>IFERROR(IF(Prêt_Non_Payé*Valeurs_Entrées,Fin_Solde,""), "")</f>
        <v/>
      </c>
      <c r="G76" s="68"/>
    </row>
    <row r="77" spans="1:7" ht="17" customHeight="1">
      <c r="A77" s="84" t="str">
        <f>IFERROR(IF(Prêt_Non_Payé*Valeurs_Entrées,Numéro_Paiement,""), "")</f>
        <v/>
      </c>
      <c r="B77" s="65" t="str">
        <f>IFERROR(IF(Prêt_Non_Payé*Valeurs_Entrées,Début_Solde,""), "")</f>
        <v/>
      </c>
      <c r="C77" s="65" t="str">
        <f>IFERROR(IF(Prêt_Non_Payé*Valeurs_Entrées,Mensualité,""), "")</f>
        <v/>
      </c>
      <c r="D77" s="65" t="str">
        <f>IFERROR(IF(Prêt_Non_Payé*Valeurs_Entrées,Capital,""), "")</f>
        <v/>
      </c>
      <c r="E77" s="65" t="str">
        <f>IFERROR(IF(Prêt_Non_Payé*Valeurs_Entrées,Intérêts,""), "")</f>
        <v/>
      </c>
      <c r="F77" s="65" t="str">
        <f>IFERROR(IF(Prêt_Non_Payé*Valeurs_Entrées,Fin_Solde,""), "")</f>
        <v/>
      </c>
      <c r="G77" s="68"/>
    </row>
    <row r="78" spans="1:7" ht="17" customHeight="1">
      <c r="A78" s="84" t="str">
        <f>IFERROR(IF(Prêt_Non_Payé*Valeurs_Entrées,Numéro_Paiement,""), "")</f>
        <v/>
      </c>
      <c r="B78" s="65" t="str">
        <f>IFERROR(IF(Prêt_Non_Payé*Valeurs_Entrées,Début_Solde,""), "")</f>
        <v/>
      </c>
      <c r="C78" s="65" t="str">
        <f>IFERROR(IF(Prêt_Non_Payé*Valeurs_Entrées,Mensualité,""), "")</f>
        <v/>
      </c>
      <c r="D78" s="65" t="str">
        <f>IFERROR(IF(Prêt_Non_Payé*Valeurs_Entrées,Capital,""), "")</f>
        <v/>
      </c>
      <c r="E78" s="65" t="str">
        <f>IFERROR(IF(Prêt_Non_Payé*Valeurs_Entrées,Intérêts,""), "")</f>
        <v/>
      </c>
      <c r="F78" s="65" t="str">
        <f>IFERROR(IF(Prêt_Non_Payé*Valeurs_Entrées,Fin_Solde,""), "")</f>
        <v/>
      </c>
      <c r="G78" s="68"/>
    </row>
  </sheetData>
  <sheetProtection algorithmName="SHA-512" hashValue="7ygQ6qFswVoErVhoiP8ZevoIMeHjgACyUUJxbG6lp/7zWQYyOPuEYrUiJ0zQZw2LBpBm+A4IIekQLZe0uuLXgA==" saltValue="z415PPO7+cWqCG6aHzVr4Q==" spinCount="100000" sheet="1" objects="1" scenarios="1"/>
  <phoneticPr fontId="5" type="noConversion"/>
  <conditionalFormatting sqref="A39:A78">
    <cfRule type="expression" dxfId="45" priority="11" stopIfTrue="1">
      <formula>NOT(Prêt_Non_Payé)</formula>
    </cfRule>
    <cfRule type="expression" dxfId="44" priority="12" stopIfTrue="1">
      <formula>IF(ROW(A39)=Dernière_Ligne,TRUE,FALSE)</formula>
    </cfRule>
  </conditionalFormatting>
  <conditionalFormatting sqref="B39:E78">
    <cfRule type="expression" dxfId="43" priority="9" stopIfTrue="1">
      <formula>NOT(Prêt_Non_Payé)</formula>
    </cfRule>
    <cfRule type="expression" dxfId="42" priority="10" stopIfTrue="1">
      <formula>IF(ROW(B39)=Dernière_Ligne,TRUE,FALSE)</formula>
    </cfRule>
  </conditionalFormatting>
  <conditionalFormatting sqref="B18:AE18">
    <cfRule type="cellIs" dxfId="41" priority="7" operator="greaterThan">
      <formula>0</formula>
    </cfRule>
    <cfRule type="cellIs" dxfId="40" priority="8" operator="lessThan">
      <formula>0</formula>
    </cfRule>
  </conditionalFormatting>
  <conditionalFormatting sqref="B25:AE26">
    <cfRule type="cellIs" dxfId="39" priority="1" operator="greaterThan">
      <formula>0</formula>
    </cfRule>
    <cfRule type="cellIs" dxfId="38" priority="2" operator="lessThan">
      <formula>0</formula>
    </cfRule>
  </conditionalFormatting>
  <conditionalFormatting sqref="B34:AE35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F39:F78">
    <cfRule type="expression" dxfId="35" priority="13" stopIfTrue="1">
      <formula>NOT(Prêt_Non_Payé)</formula>
    </cfRule>
    <cfRule type="expression" dxfId="34" priority="14" stopIfTrue="1">
      <formula>IF(ROW(F39)=Dernière_Ligne,TRUE,FALSE)</formula>
    </cfRule>
  </conditionalFormatting>
  <printOptions horizontalCentered="1"/>
  <pageMargins left="0.5" right="0.5" top="1" bottom="1" header="0.5" footer="0.5"/>
  <pageSetup paperSize="9" scale="93" fitToHeight="0" orientation="portrait" r:id="rId1"/>
  <headerFooter differentFirst="1">
    <oddFooter>Page &amp;P of &amp;N</oddFooter>
  </headerFooter>
  <rowBreaks count="1" manualBreakCount="1">
    <brk id="57" max="16383" man="1"/>
  </rowBreaks>
  <ignoredErrors>
    <ignoredError sqref="E14 D14 F14:G14 H14:O14 P14:AC14 AD14:AE14" 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942D-AFBB-5747-B7DE-3DEED7A86900}">
  <sheetPr codeName="Feuil3">
    <tabColor theme="6"/>
    <pageSetUpPr fitToPage="1"/>
  </sheetPr>
  <dimension ref="A1:AF89"/>
  <sheetViews>
    <sheetView showGridLines="0" topLeftCell="A20" zoomScaleNormal="100" workbookViewId="0">
      <pane xSplit="1" topLeftCell="V1" activePane="topRight" state="frozen"/>
      <selection pane="topRight" activeCell="A51" sqref="A51"/>
    </sheetView>
  </sheetViews>
  <sheetFormatPr baseColWidth="10" defaultColWidth="9" defaultRowHeight="17" customHeight="1"/>
  <cols>
    <col min="1" max="1" width="57.5" style="85" customWidth="1"/>
    <col min="2" max="6" width="17.8125" style="61" customWidth="1"/>
    <col min="7" max="7" width="17.8125" style="62" customWidth="1"/>
    <col min="8" max="31" width="17.8125" style="61" customWidth="1"/>
    <col min="32" max="32" width="16.6875" style="23" customWidth="1"/>
    <col min="33" max="16384" width="9" style="23"/>
  </cols>
  <sheetData>
    <row r="1" spans="1:31" s="26" customFormat="1" ht="41" customHeight="1">
      <c r="A1" s="82" t="s">
        <v>47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s="81" customFormat="1" ht="16.05" customHeight="1">
      <c r="A2" s="30" t="s">
        <v>67</v>
      </c>
      <c r="B2" s="48">
        <v>1</v>
      </c>
      <c r="C2" s="48">
        <f>B2+1</f>
        <v>2</v>
      </c>
      <c r="D2" s="48">
        <f>C2+1</f>
        <v>3</v>
      </c>
      <c r="E2" s="48">
        <f t="shared" ref="E2:AE2" si="0">D2+1</f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</row>
    <row r="3" spans="1:31" s="81" customFormat="1" ht="16.05" customHeight="1">
      <c r="A3" s="34" t="s">
        <v>51</v>
      </c>
      <c r="B3" s="49">
        <f>Projet!C12+Projet!C25+Projet!C26</f>
        <v>236007.80000000002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5" customFormat="1" ht="16.05" customHeight="1">
      <c r="A4" s="32" t="s">
        <v>70</v>
      </c>
      <c r="B4" s="51">
        <f>Prix_d_achat+Projet!C10</f>
        <v>219000</v>
      </c>
      <c r="C4" s="51">
        <f>B4*(1+Projet!$C$21)</f>
        <v>220094.99999999997</v>
      </c>
      <c r="D4" s="51">
        <f>C4*(1+Projet!$C$21)</f>
        <v>221195.47499999995</v>
      </c>
      <c r="E4" s="51">
        <f>D4*(1+Projet!$C$21)</f>
        <v>222301.45237499994</v>
      </c>
      <c r="F4" s="51">
        <f>E4*(1+Projet!$C$21)</f>
        <v>223412.9596368749</v>
      </c>
      <c r="G4" s="51">
        <f>F4*(1+Projet!$C$21)</f>
        <v>224530.02443505925</v>
      </c>
      <c r="H4" s="51">
        <f>G4*(1+Projet!$C$21)</f>
        <v>225652.67455723454</v>
      </c>
      <c r="I4" s="51">
        <f>H4*(1+Projet!$C$21)</f>
        <v>226780.93793002068</v>
      </c>
      <c r="J4" s="51">
        <f>I4*(1+Projet!$C$21)</f>
        <v>227914.84261967076</v>
      </c>
      <c r="K4" s="51">
        <f>J4*(1+Projet!$C$21)</f>
        <v>229054.41683276909</v>
      </c>
      <c r="L4" s="51">
        <f>K4*(1+Projet!$C$21)</f>
        <v>230199.68891693291</v>
      </c>
      <c r="M4" s="51">
        <f>L4*(1+Projet!$C$21)</f>
        <v>231350.68736151754</v>
      </c>
      <c r="N4" s="51">
        <f>M4*(1+Projet!$C$21)</f>
        <v>232507.44079832511</v>
      </c>
      <c r="O4" s="51">
        <f>N4*(1+Projet!$C$21)</f>
        <v>233669.97800231673</v>
      </c>
      <c r="P4" s="51">
        <f>O4*(1+Projet!$C$21)</f>
        <v>234838.32789232829</v>
      </c>
      <c r="Q4" s="51">
        <f>P4*(1+Projet!$C$21)</f>
        <v>236012.51953178991</v>
      </c>
      <c r="R4" s="51">
        <f>Q4*(1+Projet!$C$21)</f>
        <v>237192.58212944883</v>
      </c>
      <c r="S4" s="51">
        <f>R4*(1+Projet!$C$21)</f>
        <v>238378.54504009604</v>
      </c>
      <c r="T4" s="51">
        <f>S4*(1+Projet!$C$21)</f>
        <v>239570.43776529649</v>
      </c>
      <c r="U4" s="51">
        <f>T4*(1+Projet!$C$21)</f>
        <v>240768.28995412294</v>
      </c>
      <c r="V4" s="51">
        <f>U4*(1+Projet!$C$21)</f>
        <v>241972.13140389352</v>
      </c>
      <c r="W4" s="51">
        <f>V4*(1+Projet!$C$21)</f>
        <v>243181.99206091298</v>
      </c>
      <c r="X4" s="51">
        <f>W4*(1+Projet!$C$21)</f>
        <v>244397.90202121751</v>
      </c>
      <c r="Y4" s="51">
        <f>X4*(1+Projet!$C$21)</f>
        <v>245619.89153132358</v>
      </c>
      <c r="Z4" s="51">
        <f>Y4*(1+Projet!$C$21)</f>
        <v>246847.99098898016</v>
      </c>
      <c r="AA4" s="51">
        <f>Z4*(1+Projet!$C$21)</f>
        <v>248082.23094392504</v>
      </c>
      <c r="AB4" s="51">
        <f>AA4*(1+Projet!$C$21)</f>
        <v>249322.64209864463</v>
      </c>
      <c r="AC4" s="51">
        <f>AB4*(1+Projet!$C$21)</f>
        <v>250569.25530913784</v>
      </c>
      <c r="AD4" s="51">
        <f>AC4*(1+Projet!$C$21)</f>
        <v>251822.1015856835</v>
      </c>
      <c r="AE4" s="51">
        <f>AD4*(1+Projet!$C$21)</f>
        <v>253081.21209361189</v>
      </c>
    </row>
    <row r="5" spans="1:31" s="20" customFormat="1" ht="16.05" customHeight="1">
      <c r="A5" s="31" t="s">
        <v>52</v>
      </c>
      <c r="B5" s="52">
        <f ca="1">Echéancier!J26</f>
        <v>226992.27438613478</v>
      </c>
      <c r="C5" s="52">
        <f ca="1">Echéancier!J38</f>
        <v>221239.34070192344</v>
      </c>
      <c r="D5" s="52">
        <f ca="1">Echéancier!J50</f>
        <v>215252.02362310211</v>
      </c>
      <c r="E5" s="52">
        <f ca="1">Echéancier!J62</f>
        <v>209020.77400853956</v>
      </c>
      <c r="F5" s="52">
        <f ca="1">Echéancier!J74</f>
        <v>202535.65367036138</v>
      </c>
      <c r="G5" s="52">
        <f ca="1">Echéancier!J86</f>
        <v>195786.31952358535</v>
      </c>
      <c r="H5" s="52">
        <f ca="1">Echéancier!J98</f>
        <v>188762.00708998839</v>
      </c>
      <c r="I5" s="52">
        <f ca="1">Echéancier!J110</f>
        <v>181451.51332989606</v>
      </c>
      <c r="J5" s="52">
        <f ca="1">Echéancier!J122</f>
        <v>173843.17877451202</v>
      </c>
      <c r="K5" s="52">
        <f ca="1">Echéancier!J134</f>
        <v>165924.86893029173</v>
      </c>
      <c r="L5" s="52">
        <f ca="1">Echéancier!J146</f>
        <v>157683.95492570088</v>
      </c>
      <c r="M5" s="52">
        <f ca="1">Echéancier!J158</f>
        <v>149107.29336949371</v>
      </c>
      <c r="N5" s="52">
        <f ca="1">Echéancier!J170</f>
        <v>140181.2053883858</v>
      </c>
      <c r="O5" s="52">
        <f ca="1">Echéancier!J182</f>
        <v>130891.45481068979</v>
      </c>
      <c r="P5" s="52">
        <f ca="1">Echéancier!J194</f>
        <v>121223.22546111833</v>
      </c>
      <c r="Q5" s="52">
        <f ca="1">Echéancier!J206</f>
        <v>111161.09753054305</v>
      </c>
      <c r="R5" s="52">
        <f ca="1">Echéancier!J218</f>
        <v>100689.02298301971</v>
      </c>
      <c r="S5" s="52">
        <f ca="1">Echéancier!J230</f>
        <v>89790.299960859236</v>
      </c>
      <c r="T5" s="52">
        <f ca="1">Echéancier!J242</f>
        <v>78447.546146920533</v>
      </c>
      <c r="U5" s="52">
        <f ca="1">Echéancier!J254</f>
        <v>66642.671041642607</v>
      </c>
      <c r="V5" s="52">
        <f ca="1">Echéancier!J266</f>
        <v>54356.847110600211</v>
      </c>
      <c r="W5" s="52">
        <f ca="1">Echéancier!J278</f>
        <v>41570.479756566288</v>
      </c>
      <c r="X5" s="52">
        <f ca="1">Echéancier!J290</f>
        <v>28263.17606818967</v>
      </c>
      <c r="Y5" s="52">
        <f ca="1">Echéancier!J302</f>
        <v>14413.712295446428</v>
      </c>
      <c r="Z5" s="52">
        <f ca="1">Echéancier!J314</f>
        <v>-1.0011717677116394E-8</v>
      </c>
      <c r="AA5" s="52" t="str">
        <f ca="1">Echéancier!J326</f>
        <v/>
      </c>
      <c r="AB5" s="52" t="str">
        <f ca="1">Echéancier!J338</f>
        <v/>
      </c>
      <c r="AC5" s="52" t="str">
        <f ca="1">Echéancier!J350</f>
        <v/>
      </c>
      <c r="AD5" s="52" t="str">
        <f ca="1">Echéancier!J362</f>
        <v/>
      </c>
      <c r="AE5" s="52" t="str">
        <f ca="1">Echéancier!J374</f>
        <v/>
      </c>
    </row>
    <row r="6" spans="1:31" s="20" customFormat="1" ht="16.05" customHeight="1">
      <c r="A6" s="32" t="s">
        <v>53</v>
      </c>
      <c r="B6" s="51">
        <f ca="1">IF(B5="",B4,B4-B5)</f>
        <v>-7992.2743861347844</v>
      </c>
      <c r="C6" s="51">
        <f t="shared" ref="C6:AE6" ca="1" si="1">IF(C5="",C4,C4-C5)</f>
        <v>-1144.3407019234728</v>
      </c>
      <c r="D6" s="51">
        <f t="shared" ca="1" si="1"/>
        <v>5943.4513768978359</v>
      </c>
      <c r="E6" s="51">
        <f t="shared" ca="1" si="1"/>
        <v>13280.678366460372</v>
      </c>
      <c r="F6" s="51">
        <f t="shared" ca="1" si="1"/>
        <v>20877.305966513522</v>
      </c>
      <c r="G6" s="51">
        <f t="shared" ca="1" si="1"/>
        <v>28743.704911473906</v>
      </c>
      <c r="H6" s="51">
        <f t="shared" ca="1" si="1"/>
        <v>36890.667467246152</v>
      </c>
      <c r="I6" s="51">
        <f t="shared" ca="1" si="1"/>
        <v>45329.424600124621</v>
      </c>
      <c r="J6" s="51">
        <f t="shared" ca="1" si="1"/>
        <v>54071.663845158735</v>
      </c>
      <c r="K6" s="51">
        <f t="shared" ca="1" si="1"/>
        <v>63129.547902477352</v>
      </c>
      <c r="L6" s="51">
        <f t="shared" ca="1" si="1"/>
        <v>72515.733991232031</v>
      </c>
      <c r="M6" s="51">
        <f t="shared" ca="1" si="1"/>
        <v>82243.393992023834</v>
      </c>
      <c r="N6" s="51">
        <f t="shared" ca="1" si="1"/>
        <v>92326.235409939312</v>
      </c>
      <c r="O6" s="51">
        <f t="shared" ca="1" si="1"/>
        <v>102778.52319162694</v>
      </c>
      <c r="P6" s="51">
        <f t="shared" ca="1" si="1"/>
        <v>113615.10243120996</v>
      </c>
      <c r="Q6" s="51">
        <f t="shared" ca="1" si="1"/>
        <v>124851.42200124686</v>
      </c>
      <c r="R6" s="51">
        <f t="shared" ca="1" si="1"/>
        <v>136503.55914642912</v>
      </c>
      <c r="S6" s="51">
        <f t="shared" ca="1" si="1"/>
        <v>148588.2450792368</v>
      </c>
      <c r="T6" s="51">
        <f t="shared" ca="1" si="1"/>
        <v>161122.89161837596</v>
      </c>
      <c r="U6" s="51">
        <f t="shared" ca="1" si="1"/>
        <v>174125.61891248033</v>
      </c>
      <c r="V6" s="51">
        <f t="shared" ca="1" si="1"/>
        <v>187615.28429329331</v>
      </c>
      <c r="W6" s="51">
        <f t="shared" ca="1" si="1"/>
        <v>201611.51230434669</v>
      </c>
      <c r="X6" s="51">
        <f t="shared" ca="1" si="1"/>
        <v>216134.72595302784</v>
      </c>
      <c r="Y6" s="51">
        <f t="shared" ca="1" si="1"/>
        <v>231206.17923587715</v>
      </c>
      <c r="Z6" s="51">
        <f t="shared" ca="1" si="1"/>
        <v>246847.99098899018</v>
      </c>
      <c r="AA6" s="51">
        <f t="shared" ca="1" si="1"/>
        <v>248082.23094392504</v>
      </c>
      <c r="AB6" s="51">
        <f t="shared" ca="1" si="1"/>
        <v>249322.64209864463</v>
      </c>
      <c r="AC6" s="51">
        <f t="shared" ca="1" si="1"/>
        <v>250569.25530913784</v>
      </c>
      <c r="AD6" s="51">
        <f t="shared" ca="1" si="1"/>
        <v>251822.1015856835</v>
      </c>
      <c r="AE6" s="51">
        <f t="shared" ca="1" si="1"/>
        <v>253081.21209361189</v>
      </c>
    </row>
    <row r="7" spans="1:31" s="20" customFormat="1" ht="16.05" customHeight="1">
      <c r="A7" s="31"/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5" customFormat="1" ht="16.05" customHeight="1">
      <c r="A8" s="44" t="s">
        <v>69</v>
      </c>
      <c r="B8" s="55">
        <f>Projet!C47</f>
        <v>42000</v>
      </c>
      <c r="C8" s="55">
        <f>B8*(1+Projet!$C$21)</f>
        <v>42209.999999999993</v>
      </c>
      <c r="D8" s="55">
        <f>C8*(1+Projet!$C$21)</f>
        <v>42421.049999999988</v>
      </c>
      <c r="E8" s="55">
        <f>D8*(1+Projet!$C$21)</f>
        <v>42633.155249999982</v>
      </c>
      <c r="F8" s="55">
        <f>E8*(1+Projet!$C$21)</f>
        <v>42846.321026249978</v>
      </c>
      <c r="G8" s="55">
        <f>F8*(1+Projet!$C$21)</f>
        <v>43060.552631381222</v>
      </c>
      <c r="H8" s="55">
        <f>G8*(1+Projet!$C$21)</f>
        <v>43275.855394538121</v>
      </c>
      <c r="I8" s="55">
        <f>H8*(1+Projet!$C$21)</f>
        <v>43492.234671510807</v>
      </c>
      <c r="J8" s="55">
        <f>I8*(1+Projet!$C$21)</f>
        <v>43709.695844868358</v>
      </c>
      <c r="K8" s="55">
        <f>J8*(1+Projet!$C$21)</f>
        <v>43928.244324092695</v>
      </c>
      <c r="L8" s="55">
        <f>K8*(1+Projet!$C$21)</f>
        <v>44147.88554571315</v>
      </c>
      <c r="M8" s="55">
        <f>L8*(1+Projet!$C$21)</f>
        <v>44368.624973441714</v>
      </c>
      <c r="N8" s="55">
        <f>M8*(1+Projet!$C$21)</f>
        <v>44590.46809830892</v>
      </c>
      <c r="O8" s="55">
        <f>N8*(1+Projet!$C$21)</f>
        <v>44813.420438800458</v>
      </c>
      <c r="P8" s="55">
        <f>O8*(1+Projet!$C$21)</f>
        <v>45037.487540994458</v>
      </c>
      <c r="Q8" s="55">
        <f>P8*(1+Projet!$C$21)</f>
        <v>45262.674978699426</v>
      </c>
      <c r="R8" s="55">
        <f>Q8*(1+Projet!$C$21)</f>
        <v>45488.988353592918</v>
      </c>
      <c r="S8" s="55">
        <f>R8*(1+Projet!$C$21)</f>
        <v>45716.433295360875</v>
      </c>
      <c r="T8" s="55">
        <f>S8*(1+Projet!$C$21)</f>
        <v>45945.015461837676</v>
      </c>
      <c r="U8" s="55">
        <f>T8*(1+Projet!$C$21)</f>
        <v>46174.740539146856</v>
      </c>
      <c r="V8" s="55">
        <f>U8*(1+Projet!$C$21)</f>
        <v>46405.614241842588</v>
      </c>
      <c r="W8" s="55">
        <f>V8*(1+Projet!$C$21)</f>
        <v>46637.642313051794</v>
      </c>
      <c r="X8" s="55">
        <f>W8*(1+Projet!$C$21)</f>
        <v>46870.830524617049</v>
      </c>
      <c r="Y8" s="55">
        <f>X8*(1+Projet!$C$21)</f>
        <v>47105.184677240133</v>
      </c>
      <c r="Z8" s="55">
        <f>Y8*(1+Projet!$C$21)</f>
        <v>47340.710600626328</v>
      </c>
      <c r="AA8" s="55">
        <f>Z8*(1+Projet!$C$21)</f>
        <v>47577.414153629456</v>
      </c>
      <c r="AB8" s="55">
        <f>AA8*(1+Projet!$C$21)</f>
        <v>47815.301224397597</v>
      </c>
      <c r="AC8" s="55">
        <f>AB8*(1+Projet!$C$21)</f>
        <v>48054.377730519584</v>
      </c>
      <c r="AD8" s="55">
        <f>AC8*(1+Projet!$C$21)</f>
        <v>48294.649619172174</v>
      </c>
      <c r="AE8" s="55">
        <f>AD8*(1+Projet!$C$21)</f>
        <v>48536.12286726803</v>
      </c>
    </row>
    <row r="9" spans="1:31" s="20" customFormat="1" ht="16.05" customHeight="1">
      <c r="A9" s="31" t="s">
        <v>23</v>
      </c>
      <c r="B9" s="52">
        <f ca="1">IF(B2&lt;=Projet!$C$28,Echéancier!$G$9*12,0)</f>
        <v>14727.914652724703</v>
      </c>
      <c r="C9" s="52">
        <f ca="1">IF(C2&lt;=Projet!$C$28,Echéancier!$G$9*12,0)</f>
        <v>14727.914652724703</v>
      </c>
      <c r="D9" s="52">
        <f ca="1">IF(D2&lt;=Projet!$C$28,Echéancier!$G$9*12,0)</f>
        <v>14727.914652724703</v>
      </c>
      <c r="E9" s="52">
        <f ca="1">IF(E2&lt;=Projet!$C$28,Echéancier!$G$9*12,0)</f>
        <v>14727.914652724703</v>
      </c>
      <c r="F9" s="52">
        <f ca="1">IF(F2&lt;=Projet!$C$28,Echéancier!$G$9*12,0)</f>
        <v>14727.914652724703</v>
      </c>
      <c r="G9" s="52">
        <f ca="1">IF(G2&lt;=Projet!$C$28,Echéancier!$G$9*12,0)</f>
        <v>14727.914652724703</v>
      </c>
      <c r="H9" s="52">
        <f ca="1">IF(H2&lt;=Projet!$C$28,Echéancier!$G$9*12,0)</f>
        <v>14727.914652724703</v>
      </c>
      <c r="I9" s="52">
        <f ca="1">IF(I2&lt;=Projet!$C$28,Echéancier!$G$9*12,0)</f>
        <v>14727.914652724703</v>
      </c>
      <c r="J9" s="52">
        <f ca="1">IF(J2&lt;=Projet!$C$28,Echéancier!$G$9*12,0)</f>
        <v>14727.914652724703</v>
      </c>
      <c r="K9" s="52">
        <f ca="1">IF(K2&lt;=Projet!$C$28,Echéancier!$G$9*12,0)</f>
        <v>14727.914652724703</v>
      </c>
      <c r="L9" s="52">
        <f ca="1">IF(L2&lt;=Projet!$C$28,Echéancier!$G$9*12,0)</f>
        <v>14727.914652724703</v>
      </c>
      <c r="M9" s="52">
        <f ca="1">IF(M2&lt;=Projet!$C$28,Echéancier!$G$9*12,0)</f>
        <v>14727.914652724703</v>
      </c>
      <c r="N9" s="52">
        <f ca="1">IF(N2&lt;=Projet!$C$28,Echéancier!$G$9*12,0)</f>
        <v>14727.914652724703</v>
      </c>
      <c r="O9" s="52">
        <f ca="1">IF(O2&lt;=Projet!$C$28,Echéancier!$G$9*12,0)</f>
        <v>14727.914652724703</v>
      </c>
      <c r="P9" s="52">
        <f ca="1">IF(P2&lt;=Projet!$C$28,Echéancier!$G$9*12,0)</f>
        <v>14727.914652724703</v>
      </c>
      <c r="Q9" s="52">
        <f ca="1">IF(Q2&lt;=Projet!$C$28,Echéancier!$G$9*12,0)</f>
        <v>14727.914652724703</v>
      </c>
      <c r="R9" s="52">
        <f ca="1">IF(R2&lt;=Projet!$C$28,Echéancier!$G$9*12,0)</f>
        <v>14727.914652724703</v>
      </c>
      <c r="S9" s="52">
        <f ca="1">IF(S2&lt;=Projet!$C$28,Echéancier!$G$9*12,0)</f>
        <v>14727.914652724703</v>
      </c>
      <c r="T9" s="52">
        <f ca="1">IF(T2&lt;=Projet!$C$28,Echéancier!$G$9*12,0)</f>
        <v>14727.914652724703</v>
      </c>
      <c r="U9" s="52">
        <f ca="1">IF(U2&lt;=Projet!$C$28,Echéancier!$G$9*12,0)</f>
        <v>14727.914652724703</v>
      </c>
      <c r="V9" s="52">
        <f ca="1">IF(V2&lt;=Projet!$C$28,Echéancier!$G$9*12,0)</f>
        <v>14727.914652724703</v>
      </c>
      <c r="W9" s="52">
        <f ca="1">IF(W2&lt;=Projet!$C$28,Echéancier!$G$9*12,0)</f>
        <v>14727.914652724703</v>
      </c>
      <c r="X9" s="52">
        <f ca="1">IF(X2&lt;=Projet!$C$28,Echéancier!$G$9*12,0)</f>
        <v>14727.914652724703</v>
      </c>
      <c r="Y9" s="52">
        <f ca="1">IF(Y2&lt;=Projet!$C$28,Echéancier!$G$9*12,0)</f>
        <v>14727.914652724703</v>
      </c>
      <c r="Z9" s="52">
        <f ca="1">IF(Z2&lt;=Projet!$C$28,Echéancier!$G$9*12,0)</f>
        <v>14727.914652724703</v>
      </c>
      <c r="AA9" s="52">
        <f ca="1">IF(AA2&lt;=Projet!$C$28,Echéancier!$G$9*12,0)</f>
        <v>14727.914652724703</v>
      </c>
      <c r="AB9" s="52">
        <f ca="1">IF(AB2&lt;=Projet!$C$28,Echéancier!$G$9*12,0)</f>
        <v>14727.914652724703</v>
      </c>
      <c r="AC9" s="52">
        <f ca="1">IF(AC2&lt;=Projet!$C$28,Echéancier!$G$9*12,0)</f>
        <v>14727.914652724703</v>
      </c>
      <c r="AD9" s="52">
        <f ca="1">IF(AD2&lt;=Projet!$C$28,Echéancier!$G$9*12,0)</f>
        <v>14727.914652724703</v>
      </c>
      <c r="AE9" s="52">
        <f ca="1">IF(AE2&lt;=Projet!$C$28,Echéancier!$G$9*12,0)</f>
        <v>14727.914652724703</v>
      </c>
    </row>
    <row r="10" spans="1:31" s="20" customFormat="1" ht="16.05" customHeight="1">
      <c r="A10" s="32" t="s">
        <v>22</v>
      </c>
      <c r="B10" s="51">
        <f ca="1">IF(B2&lt;=Projet!$C$28,SUM((Echéancier!$H$15:$H$26)),0)</f>
        <v>5527.7256138650646</v>
      </c>
      <c r="C10" s="51">
        <f ca="1">IF(C2&lt;=Projet!$C$28,SUM((Echéancier!H27:H38)),0)</f>
        <v>5752.9336842111697</v>
      </c>
      <c r="D10" s="51">
        <f ca="1">IF(D2&lt;=Projet!$C$28,SUM((Echéancier!H39:H50)),0)</f>
        <v>5987.3170788211601</v>
      </c>
      <c r="E10" s="51">
        <f ca="1">IF(E2&lt;=Projet!$C$28,SUM((Echéancier!H51:H62),0))</f>
        <v>6231.2496145623436</v>
      </c>
      <c r="F10" s="51">
        <f ca="1">IF(F2&lt;=Projet!$C$28,SUM((Echéancier!$H$63:$H$74),0))</f>
        <v>6485.1203381779578</v>
      </c>
      <c r="G10" s="51">
        <f ca="1">IF(G2&lt;=Projet!$C$28,SUM((Echéancier!$H$75:$H$86),0))</f>
        <v>6749.3341467758364</v>
      </c>
      <c r="H10" s="51">
        <f ca="1">IF(H2&lt;=Projet!$C$28,SUM((Echéancier!$H$87:$H$98),0))</f>
        <v>7024.312433596705</v>
      </c>
      <c r="I10" s="51">
        <f ca="1">IF(I2&lt;=Projet!$C$28,SUM((Echéancier!$H$99:$H$110),0))</f>
        <v>7310.4937600920975</v>
      </c>
      <c r="J10" s="51">
        <f ca="1">IF(J2&lt;=Projet!$C$28,SUM((Echéancier!$H$111:$H$122),0))</f>
        <v>7608.3345553837435</v>
      </c>
      <c r="K10" s="51">
        <f ca="1">IF(K2&lt;=Projet!$C$28,SUM((Echéancier!$H$123:$H$134),0))</f>
        <v>7918.3098442200289</v>
      </c>
      <c r="L10" s="51">
        <f ca="1">IF(L2&lt;=Projet!$C$28,SUM((Echéancier!$H$135:$H$146),0))</f>
        <v>8240.9140045905133</v>
      </c>
      <c r="M10" s="51">
        <f ca="1">IF(M2&lt;=Projet!$C$28,SUM((Echéancier!$H$147:$H$158),0))</f>
        <v>8576.6615562068328</v>
      </c>
      <c r="N10" s="51">
        <f ca="1">IF(N2&lt;=Projet!$C$28,SUM((Echéancier!$H$159:$H$170),0))</f>
        <v>8926.0879811075447</v>
      </c>
      <c r="O10" s="51">
        <f ca="1">IF(O2&lt;=Projet!$C$28,SUM((Echéancier!$H$171:$H$182),0))</f>
        <v>9289.750577695655</v>
      </c>
      <c r="P10" s="51">
        <f ca="1">IF(P2&lt;=Projet!$C$28,SUM((Echéancier!$H$183:$H$194),0))</f>
        <v>9668.2293495709837</v>
      </c>
      <c r="Q10" s="51">
        <f ca="1">IF(Q2&lt;=Projet!$C$28,SUM((Echéancier!$H$195:$H$206),0))</f>
        <v>10062.127930574898</v>
      </c>
      <c r="R10" s="51">
        <f ca="1">IF(R2&lt;=Projet!$C$28,SUM((Echéancier!$H$207:$H$218),0))</f>
        <v>10472.07454752283</v>
      </c>
      <c r="S10" s="51">
        <f ca="1">IF(S2&lt;=Projet!$C$28,SUM((Echéancier!$H$219:$H$230),0))</f>
        <v>10898.723022159969</v>
      </c>
      <c r="T10" s="51">
        <f ca="1">IF(T2&lt;=Projet!$C$28,SUM((Echéancier!$H$231:$H$242),0))</f>
        <v>11342.753813938196</v>
      </c>
      <c r="U10" s="51">
        <f ca="1">IF(U2&lt;=Projet!$C$28,SUM((Echéancier!$H$243:$H$254),0))</f>
        <v>11804.87510527737</v>
      </c>
      <c r="V10" s="51">
        <f ca="1">IF(V2&lt;=Projet!$C$28,SUM((Echéancier!$H$255:$H$266),0))</f>
        <v>12285.823931041783</v>
      </c>
      <c r="W10" s="51">
        <f ca="1">IF(W2&lt;=Projet!$C$28,SUM((Echéancier!$H$267:$H$278),0))</f>
        <v>12786.367354033298</v>
      </c>
      <c r="X10" s="51">
        <f ca="1">IF(X2&lt;=Projet!$C$28,SUM((Echéancier!$H$279:$H$290),0))</f>
        <v>13307.303688375845</v>
      </c>
      <c r="Y10" s="51">
        <f ca="1">IF(Y2&lt;=Projet!$C$28,SUM((Echéancier!$H$291:$H$302),0))</f>
        <v>13849.463772742485</v>
      </c>
      <c r="Z10" s="51">
        <f ca="1">IF(Z2&lt;=Projet!$C$28,SUM((Echéancier!$H$303:$H$314)),0)</f>
        <v>14413.712295455744</v>
      </c>
      <c r="AA10" s="51">
        <f ca="1">IF(AA2&lt;=Projet!$C$28,SUM((Echéancier!$H$315:$H$326)),0)</f>
        <v>0</v>
      </c>
      <c r="AB10" s="51">
        <f ca="1">IF(AB2&lt;=Projet!$C$28,SUM((Echéancier!$H$327:$H$338)),0)</f>
        <v>0</v>
      </c>
      <c r="AC10" s="51">
        <f ca="1">IF(AC2&lt;=Projet!$C$28,SUM((Echéancier!$H$339:$H$350)),0)</f>
        <v>0</v>
      </c>
      <c r="AD10" s="51">
        <f ca="1">IF(AD2&lt;=Projet!$C$28,SUM((Echéancier!$H$351:$H$362)),0)</f>
        <v>0</v>
      </c>
      <c r="AE10" s="51">
        <f ca="1">IF(AE2&lt;=Projet!$C$28,SUM((Echéancier!$H$363:$H$374)),0)</f>
        <v>0</v>
      </c>
    </row>
    <row r="11" spans="1:31" s="20" customFormat="1" ht="16.05" customHeight="1">
      <c r="A11" s="33" t="s">
        <v>24</v>
      </c>
      <c r="B11" s="52">
        <f t="shared" ref="B11" ca="1" si="2">IF(B10=0,0,B9-B10)</f>
        <v>9200.1890388596385</v>
      </c>
      <c r="C11" s="52">
        <f t="shared" ref="C11" ca="1" si="3">IF(C10=0,0,C9-C10)</f>
        <v>8974.9809685135333</v>
      </c>
      <c r="D11" s="52">
        <f t="shared" ref="D11" ca="1" si="4">IF(D10=0,0,D9-D10)</f>
        <v>8740.5975739035421</v>
      </c>
      <c r="E11" s="52">
        <f t="shared" ref="E11" ca="1" si="5">IF(E10=0,0,E9-E10)</f>
        <v>8496.6650381623585</v>
      </c>
      <c r="F11" s="52">
        <f t="shared" ref="F11" ca="1" si="6">IF(F10=0,0,F9-F10)</f>
        <v>8242.7943145467452</v>
      </c>
      <c r="G11" s="52">
        <f t="shared" ref="G11" ca="1" si="7">IF(G10=0,0,G9-G10)</f>
        <v>7978.5805059488666</v>
      </c>
      <c r="H11" s="52">
        <f t="shared" ref="H11" ca="1" si="8">IF(H10=0,0,H9-H10)</f>
        <v>7703.6022191279981</v>
      </c>
      <c r="I11" s="52">
        <f t="shared" ref="I11" ca="1" si="9">IF(I10=0,0,I9-I10)</f>
        <v>7417.4208926326055</v>
      </c>
      <c r="J11" s="52">
        <f t="shared" ref="J11" ca="1" si="10">IF(J10=0,0,J9-J10)</f>
        <v>7119.5800973409596</v>
      </c>
      <c r="K11" s="52">
        <f t="shared" ref="K11" ca="1" si="11">IF(K10=0,0,K9-K10)</f>
        <v>6809.6048085046741</v>
      </c>
      <c r="L11" s="52">
        <f t="shared" ref="L11" ca="1" si="12">IF(L10=0,0,L9-L10)</f>
        <v>6487.0006481341898</v>
      </c>
      <c r="M11" s="52">
        <f t="shared" ref="M11" ca="1" si="13">IF(M10=0,0,M9-M10)</f>
        <v>6151.2530965178703</v>
      </c>
      <c r="N11" s="52">
        <f t="shared" ref="N11" ca="1" si="14">IF(N10=0,0,N9-N10)</f>
        <v>5801.8266716171584</v>
      </c>
      <c r="O11" s="52">
        <f t="shared" ref="O11" ca="1" si="15">IF(O10=0,0,O9-O10)</f>
        <v>5438.164075029048</v>
      </c>
      <c r="P11" s="52">
        <f t="shared" ref="P11" ca="1" si="16">IF(P10=0,0,P9-P10)</f>
        <v>5059.6853031537194</v>
      </c>
      <c r="Q11" s="52">
        <f t="shared" ref="Q11" ca="1" si="17">IF(Q10=0,0,Q9-Q10)</f>
        <v>4665.7867221498054</v>
      </c>
      <c r="R11" s="52">
        <f t="shared" ref="R11" ca="1" si="18">IF(R10=0,0,R9-R10)</f>
        <v>4255.8401052018726</v>
      </c>
      <c r="S11" s="52">
        <f t="shared" ref="S11" ca="1" si="19">IF(S10=0,0,S9-S10)</f>
        <v>3829.1916305647337</v>
      </c>
      <c r="T11" s="52">
        <f t="shared" ref="T11" ca="1" si="20">IF(T10=0,0,T9-T10)</f>
        <v>3385.1608387865072</v>
      </c>
      <c r="U11" s="52">
        <f t="shared" ref="U11" ca="1" si="21">IF(U10=0,0,U9-U10)</f>
        <v>2923.0395474473335</v>
      </c>
      <c r="V11" s="52">
        <f t="shared" ref="V11" ca="1" si="22">IF(V10=0,0,V9-V10)</f>
        <v>2442.09072168292</v>
      </c>
      <c r="W11" s="52">
        <f t="shared" ref="W11" ca="1" si="23">IF(W10=0,0,W9-W10)</f>
        <v>1941.5472986914046</v>
      </c>
      <c r="X11" s="52">
        <f t="shared" ref="X11" ca="1" si="24">IF(X10=0,0,X9-X10)</f>
        <v>1420.610964348858</v>
      </c>
      <c r="Y11" s="52">
        <f t="shared" ref="Y11" ca="1" si="25">IF(Y10=0,0,Y9-Y10)</f>
        <v>878.45087998221788</v>
      </c>
      <c r="Z11" s="52">
        <f t="shared" ref="Z11" ca="1" si="26">IF(Z10=0,0,Z9-Z10)</f>
        <v>314.20235726895953</v>
      </c>
      <c r="AA11" s="52">
        <f t="shared" ref="AA11:AE11" ca="1" si="27">IF(AA10=0,0,AA9-AA10)</f>
        <v>0</v>
      </c>
      <c r="AB11" s="52">
        <f t="shared" ca="1" si="27"/>
        <v>0</v>
      </c>
      <c r="AC11" s="52">
        <f t="shared" ca="1" si="27"/>
        <v>0</v>
      </c>
      <c r="AD11" s="52">
        <f t="shared" ca="1" si="27"/>
        <v>0</v>
      </c>
      <c r="AE11" s="52">
        <f t="shared" ca="1" si="27"/>
        <v>0</v>
      </c>
    </row>
    <row r="12" spans="1:31" s="20" customFormat="1" ht="16.05" customHeight="1">
      <c r="A12" s="32" t="s">
        <v>21</v>
      </c>
      <c r="B12" s="51">
        <f>Projet!$C$30*12</f>
        <v>600</v>
      </c>
      <c r="C12" s="51">
        <f>Projet!$C$30*12</f>
        <v>600</v>
      </c>
      <c r="D12" s="51">
        <f>Projet!$C$30*12</f>
        <v>600</v>
      </c>
      <c r="E12" s="51">
        <f>Projet!$C$30*12</f>
        <v>600</v>
      </c>
      <c r="F12" s="51">
        <f>Projet!$C$30*12</f>
        <v>600</v>
      </c>
      <c r="G12" s="51">
        <f>Projet!$C$30*12</f>
        <v>600</v>
      </c>
      <c r="H12" s="51">
        <f>Projet!$C$30*12</f>
        <v>600</v>
      </c>
      <c r="I12" s="51">
        <f>Projet!$C$30*12</f>
        <v>600</v>
      </c>
      <c r="J12" s="51">
        <f>Projet!$C$30*12</f>
        <v>600</v>
      </c>
      <c r="K12" s="51">
        <f>Projet!$C$30*12</f>
        <v>600</v>
      </c>
      <c r="L12" s="51">
        <f>Projet!$C$30*12</f>
        <v>600</v>
      </c>
      <c r="M12" s="51">
        <f>Projet!$C$30*12</f>
        <v>600</v>
      </c>
      <c r="N12" s="51">
        <f>Projet!$C$30*12</f>
        <v>600</v>
      </c>
      <c r="O12" s="51">
        <f>Projet!$C$30*12</f>
        <v>600</v>
      </c>
      <c r="P12" s="51">
        <f>Projet!$C$30*12</f>
        <v>600</v>
      </c>
      <c r="Q12" s="51">
        <f>Projet!$C$30*12</f>
        <v>600</v>
      </c>
      <c r="R12" s="51">
        <f>Projet!$C$30*12</f>
        <v>600</v>
      </c>
      <c r="S12" s="51">
        <f>Projet!$C$30*12</f>
        <v>600</v>
      </c>
      <c r="T12" s="51">
        <f>Projet!$C$30*12</f>
        <v>600</v>
      </c>
      <c r="U12" s="51">
        <f>Projet!$C$30*12</f>
        <v>600</v>
      </c>
      <c r="V12" s="51">
        <f>Projet!$C$30*12</f>
        <v>600</v>
      </c>
      <c r="W12" s="51">
        <f>Projet!$C$30*12</f>
        <v>600</v>
      </c>
      <c r="X12" s="51">
        <f>Projet!$C$30*12</f>
        <v>600</v>
      </c>
      <c r="Y12" s="51">
        <f>Projet!$C$30*12</f>
        <v>600</v>
      </c>
      <c r="Z12" s="51">
        <f>Projet!$C$30*12</f>
        <v>600</v>
      </c>
      <c r="AA12" s="51">
        <f>Projet!$C$30*12</f>
        <v>600</v>
      </c>
      <c r="AB12" s="51">
        <f>Projet!$C$30*12</f>
        <v>600</v>
      </c>
      <c r="AC12" s="51">
        <f>Projet!$C$30*12</f>
        <v>600</v>
      </c>
      <c r="AD12" s="51">
        <f>Projet!$C$30*12</f>
        <v>600</v>
      </c>
      <c r="AE12" s="51">
        <f>Projet!$C$30*12</f>
        <v>600</v>
      </c>
    </row>
    <row r="13" spans="1:31" s="20" customFormat="1" ht="16.05" customHeight="1">
      <c r="A13" s="33" t="s">
        <v>71</v>
      </c>
      <c r="B13" s="56">
        <f>Projet!C20</f>
        <v>0</v>
      </c>
      <c r="C13" s="56">
        <f>B13*(1+Projet!$C$21)</f>
        <v>0</v>
      </c>
      <c r="D13" s="56">
        <f>C13*(1+Projet!$C$21)</f>
        <v>0</v>
      </c>
      <c r="E13" s="56">
        <f>D13*(1+Projet!$C$21)</f>
        <v>0</v>
      </c>
      <c r="F13" s="56">
        <f>E13*(1+Projet!$C$21)</f>
        <v>0</v>
      </c>
      <c r="G13" s="56">
        <f>F13*(1+Projet!$C$21)</f>
        <v>0</v>
      </c>
      <c r="H13" s="56">
        <f>G13*(1+Projet!$C$21)</f>
        <v>0</v>
      </c>
      <c r="I13" s="56">
        <f>H13*(1+Projet!$C$21)</f>
        <v>0</v>
      </c>
      <c r="J13" s="56">
        <f>I13*(1+Projet!$C$21)</f>
        <v>0</v>
      </c>
      <c r="K13" s="56">
        <f>J13*(1+Projet!$C$21)</f>
        <v>0</v>
      </c>
      <c r="L13" s="56">
        <f>K13*(1+Projet!$C$21)</f>
        <v>0</v>
      </c>
      <c r="M13" s="56">
        <f>L13*(1+Projet!$C$21)</f>
        <v>0</v>
      </c>
      <c r="N13" s="56">
        <f>M13*(1+Projet!$C$21)</f>
        <v>0</v>
      </c>
      <c r="O13" s="56">
        <f>N13*(1+Projet!$C$21)</f>
        <v>0</v>
      </c>
      <c r="P13" s="56">
        <f>O13*(1+Projet!$C$21)</f>
        <v>0</v>
      </c>
      <c r="Q13" s="56">
        <f>P13*(1+Projet!$C$21)</f>
        <v>0</v>
      </c>
      <c r="R13" s="56">
        <f>Q13*(1+Projet!$C$21)</f>
        <v>0</v>
      </c>
      <c r="S13" s="56">
        <f>R13*(1+Projet!$C$21)</f>
        <v>0</v>
      </c>
      <c r="T13" s="56">
        <f>S13*(1+Projet!$C$21)</f>
        <v>0</v>
      </c>
      <c r="U13" s="56">
        <f>T13*(1+Projet!$C$21)</f>
        <v>0</v>
      </c>
      <c r="V13" s="56">
        <f>U13*(1+Projet!$C$21)</f>
        <v>0</v>
      </c>
      <c r="W13" s="56">
        <f>V13*(1+Projet!$C$21)</f>
        <v>0</v>
      </c>
      <c r="X13" s="56">
        <f>W13*(1+Projet!$C$21)</f>
        <v>0</v>
      </c>
      <c r="Y13" s="56">
        <f>X13*(1+Projet!$C$21)</f>
        <v>0</v>
      </c>
      <c r="Z13" s="56">
        <f>Y13*(1+Projet!$C$21)</f>
        <v>0</v>
      </c>
      <c r="AA13" s="56">
        <f>Z13*(1+Projet!$C$21)</f>
        <v>0</v>
      </c>
      <c r="AB13" s="56">
        <f>AA13*(1+Projet!$C$21)</f>
        <v>0</v>
      </c>
      <c r="AC13" s="56">
        <f>AB13*(1+Projet!$C$21)</f>
        <v>0</v>
      </c>
      <c r="AD13" s="56">
        <f>AC13*(1+Projet!$C$21)</f>
        <v>0</v>
      </c>
      <c r="AE13" s="56">
        <f>AD13*(1+Projet!$C$21)</f>
        <v>0</v>
      </c>
    </row>
    <row r="14" spans="1:31" s="20" customFormat="1" ht="16.05" customHeight="1">
      <c r="A14" s="32" t="s">
        <v>25</v>
      </c>
      <c r="B14" s="57">
        <f>IF(Projet!$C$5="Oui ",B8*0.05,0)</f>
        <v>2100</v>
      </c>
      <c r="C14" s="57">
        <f>IF(Projet!$C$5="Oui ",C8*0.05,0)</f>
        <v>2110.4999999999995</v>
      </c>
      <c r="D14" s="57">
        <f>IF(Projet!$C$5="Oui ",D8*0.05,0)</f>
        <v>2121.0524999999993</v>
      </c>
      <c r="E14" s="57">
        <f>IF(Projet!$C$5="Oui ",E8*0.05,0)</f>
        <v>2131.6577624999991</v>
      </c>
      <c r="F14" s="57">
        <f>IF(Projet!$C$5="Oui ",F8*0.05,0)</f>
        <v>2142.316051312499</v>
      </c>
      <c r="G14" s="57">
        <f>IF(Projet!$C$5="Oui ",G8*0.05,0)</f>
        <v>2153.0276315690612</v>
      </c>
      <c r="H14" s="57">
        <f>IF(Projet!$C$5="Oui ",H8*0.05,0)</f>
        <v>2163.792769726906</v>
      </c>
      <c r="I14" s="57">
        <f>IF(Projet!$C$5="Oui ",I8*0.05,0)</f>
        <v>2174.6117335755403</v>
      </c>
      <c r="J14" s="57">
        <f>IF(Projet!$C$5="Oui ",J8*0.05,0)</f>
        <v>2185.4847922434178</v>
      </c>
      <c r="K14" s="57">
        <f>IF(Projet!$C$5="Oui ",K8*0.05,0)</f>
        <v>2196.4122162046347</v>
      </c>
      <c r="L14" s="57">
        <f>IF(Projet!$C$5="Oui ",L8*0.05,0)</f>
        <v>2207.3942772856576</v>
      </c>
      <c r="M14" s="57">
        <f>IF(Projet!$C$5="Oui ",M8*0.05,0)</f>
        <v>2218.431248672086</v>
      </c>
      <c r="N14" s="57">
        <f>IF(Projet!$C$5="Oui ",N8*0.05,0)</f>
        <v>2229.523404915446</v>
      </c>
      <c r="O14" s="57">
        <f>IF(Projet!$C$5="Oui ",O8*0.05,0)</f>
        <v>2240.6710219400229</v>
      </c>
      <c r="P14" s="57">
        <f>IF(Projet!$C$5="Oui ",P8*0.05,0)</f>
        <v>2251.8743770497231</v>
      </c>
      <c r="Q14" s="57">
        <f>IF(Projet!$C$5="Oui ",Q8*0.05,0)</f>
        <v>2263.1337489349712</v>
      </c>
      <c r="R14" s="57">
        <f>IF(Projet!$C$5="Oui ",R8*0.05,0)</f>
        <v>2274.4494176796461</v>
      </c>
      <c r="S14" s="57">
        <f>IF(Projet!$C$5="Oui ",S8*0.05,0)</f>
        <v>2285.8216647680438</v>
      </c>
      <c r="T14" s="57">
        <f>IF(Projet!$C$5="Oui ",T8*0.05,0)</f>
        <v>2297.2507730918837</v>
      </c>
      <c r="U14" s="57">
        <f>IF(Projet!$C$5="Oui ",U8*0.05,0)</f>
        <v>2308.737026957343</v>
      </c>
      <c r="V14" s="57">
        <f>IF(Projet!$C$5="Oui ",V8*0.05,0)</f>
        <v>2320.2807120921293</v>
      </c>
      <c r="W14" s="57">
        <f>IF(Projet!$C$5="Oui ",W8*0.05,0)</f>
        <v>2331.8821156525896</v>
      </c>
      <c r="X14" s="57">
        <f>IF(Projet!$C$5="Oui ",X8*0.05,0)</f>
        <v>2343.5415262308525</v>
      </c>
      <c r="Y14" s="57">
        <f>IF(Projet!$C$5="Oui ",Y8*0.05,0)</f>
        <v>2355.2592338620066</v>
      </c>
      <c r="Z14" s="57">
        <f>IF(Projet!$C$5="Oui ",Z8*0.05,0)</f>
        <v>2367.0355300313163</v>
      </c>
      <c r="AA14" s="57">
        <f>IF(Projet!$C$5="Oui ",AA8*0.05,0)</f>
        <v>2378.870707681473</v>
      </c>
      <c r="AB14" s="57">
        <f>IF(Projet!$C$5="Oui ",AB8*0.05,0)</f>
        <v>2390.76506121988</v>
      </c>
      <c r="AC14" s="57">
        <f>IF(Projet!$C$5="Oui ",AC8*0.05,0)</f>
        <v>2402.7188865259791</v>
      </c>
      <c r="AD14" s="57">
        <f>IF(Projet!$C$5="Oui ",AD8*0.05,0)</f>
        <v>2414.7324809586089</v>
      </c>
      <c r="AE14" s="57">
        <f>IF(Projet!$C$5="Oui ",AE8*0.05,0)</f>
        <v>2426.8061433634016</v>
      </c>
    </row>
    <row r="15" spans="1:31" s="20" customFormat="1" ht="16.05" customHeight="1">
      <c r="A15" s="33" t="s">
        <v>72</v>
      </c>
      <c r="B15" s="56">
        <f>Projet!C19</f>
        <v>1000</v>
      </c>
      <c r="C15" s="56">
        <f>B15*(1+Projet!$C$21)</f>
        <v>1004.9999999999999</v>
      </c>
      <c r="D15" s="56">
        <f>C15*(1+Projet!$C$21)</f>
        <v>1010.0249999999997</v>
      </c>
      <c r="E15" s="56">
        <f>D15*(1+Projet!$C$21)</f>
        <v>1015.0751249999996</v>
      </c>
      <c r="F15" s="56">
        <f>E15*(1+Projet!$C$21)</f>
        <v>1020.1505006249995</v>
      </c>
      <c r="G15" s="56">
        <f>F15*(1+Projet!$C$21)</f>
        <v>1025.2512531281243</v>
      </c>
      <c r="H15" s="56">
        <f>G15*(1+Projet!$C$21)</f>
        <v>1030.3775093937647</v>
      </c>
      <c r="I15" s="56">
        <f>H15*(1+Projet!$C$21)</f>
        <v>1035.5293969407335</v>
      </c>
      <c r="J15" s="56">
        <f>I15*(1+Projet!$C$21)</f>
        <v>1040.7070439254371</v>
      </c>
      <c r="K15" s="56">
        <f>J15*(1+Projet!$C$21)</f>
        <v>1045.9105791450643</v>
      </c>
      <c r="L15" s="56">
        <f>K15*(1+Projet!$C$21)</f>
        <v>1051.1401320407895</v>
      </c>
      <c r="M15" s="56">
        <f>L15*(1+Projet!$C$21)</f>
        <v>1056.3958327009932</v>
      </c>
      <c r="N15" s="56">
        <f>M15*(1+Projet!$C$21)</f>
        <v>1061.6778118644982</v>
      </c>
      <c r="O15" s="56">
        <f>N15*(1+Projet!$C$21)</f>
        <v>1066.9862009238204</v>
      </c>
      <c r="P15" s="56">
        <f>O15*(1+Projet!$C$21)</f>
        <v>1072.3211319284394</v>
      </c>
      <c r="Q15" s="56">
        <f>P15*(1+Projet!$C$21)</f>
        <v>1077.6827375880814</v>
      </c>
      <c r="R15" s="56">
        <f>Q15*(1+Projet!$C$21)</f>
        <v>1083.0711512760217</v>
      </c>
      <c r="S15" s="56">
        <f>R15*(1+Projet!$C$21)</f>
        <v>1088.4865070324017</v>
      </c>
      <c r="T15" s="56">
        <f>S15*(1+Projet!$C$21)</f>
        <v>1093.9289395675637</v>
      </c>
      <c r="U15" s="56">
        <f>T15*(1+Projet!$C$21)</f>
        <v>1099.3985842654015</v>
      </c>
      <c r="V15" s="56">
        <f>U15*(1+Projet!$C$21)</f>
        <v>1104.8955771867284</v>
      </c>
      <c r="W15" s="56">
        <f>V15*(1+Projet!$C$21)</f>
        <v>1110.4200550726619</v>
      </c>
      <c r="X15" s="56">
        <f>W15*(1+Projet!$C$21)</f>
        <v>1115.9721553480251</v>
      </c>
      <c r="Y15" s="56">
        <f>X15*(1+Projet!$C$21)</f>
        <v>1121.552016124765</v>
      </c>
      <c r="Z15" s="56">
        <f>Y15*(1+Projet!$C$21)</f>
        <v>1127.1597762053887</v>
      </c>
      <c r="AA15" s="56">
        <f>Z15*(1+Projet!$C$21)</f>
        <v>1132.7955750864155</v>
      </c>
      <c r="AB15" s="56">
        <f>AA15*(1+Projet!$C$21)</f>
        <v>1138.4595529618475</v>
      </c>
      <c r="AC15" s="56">
        <f>AB15*(1+Projet!$C$21)</f>
        <v>1144.1518507266567</v>
      </c>
      <c r="AD15" s="56">
        <f>AC15*(1+Projet!$C$21)</f>
        <v>1149.8726099802898</v>
      </c>
      <c r="AE15" s="56">
        <f>AD15*(1+Projet!$C$21)</f>
        <v>1155.6219730301912</v>
      </c>
    </row>
    <row r="16" spans="1:31" s="20" customFormat="1" ht="16.05" customHeight="1">
      <c r="A16" s="32" t="s">
        <v>73</v>
      </c>
      <c r="B16" s="51">
        <f>Projet!C18</f>
        <v>0</v>
      </c>
      <c r="C16" s="51">
        <f>B16*(1+Projet!$C$21)</f>
        <v>0</v>
      </c>
      <c r="D16" s="51">
        <f>C16*(1+Projet!$C$21)</f>
        <v>0</v>
      </c>
      <c r="E16" s="51">
        <f>D16*(1+Projet!$C$21)</f>
        <v>0</v>
      </c>
      <c r="F16" s="51">
        <f>E16*(1+Projet!$C$21)</f>
        <v>0</v>
      </c>
      <c r="G16" s="51">
        <f>F16*(1+Projet!$C$21)</f>
        <v>0</v>
      </c>
      <c r="H16" s="51">
        <f>G16*(1+Projet!$C$21)</f>
        <v>0</v>
      </c>
      <c r="I16" s="51">
        <f>H16*(1+Projet!$C$21)</f>
        <v>0</v>
      </c>
      <c r="J16" s="51">
        <f>I16*(1+Projet!$C$21)</f>
        <v>0</v>
      </c>
      <c r="K16" s="51">
        <f>J16*(1+Projet!$C$21)</f>
        <v>0</v>
      </c>
      <c r="L16" s="51">
        <f>K16*(1+Projet!$C$21)</f>
        <v>0</v>
      </c>
      <c r="M16" s="51">
        <f>L16*(1+Projet!$C$21)</f>
        <v>0</v>
      </c>
      <c r="N16" s="51">
        <f>M16*(1+Projet!$C$21)</f>
        <v>0</v>
      </c>
      <c r="O16" s="51">
        <f>N16*(1+Projet!$C$21)</f>
        <v>0</v>
      </c>
      <c r="P16" s="51">
        <f>O16*(1+Projet!$C$21)</f>
        <v>0</v>
      </c>
      <c r="Q16" s="51">
        <f>P16*(1+Projet!$C$21)</f>
        <v>0</v>
      </c>
      <c r="R16" s="51">
        <f>Q16*(1+Projet!$C$21)</f>
        <v>0</v>
      </c>
      <c r="S16" s="51">
        <f>R16*(1+Projet!$C$21)</f>
        <v>0</v>
      </c>
      <c r="T16" s="51">
        <f>S16*(1+Projet!$C$21)</f>
        <v>0</v>
      </c>
      <c r="U16" s="51">
        <f>T16*(1+Projet!$C$21)</f>
        <v>0</v>
      </c>
      <c r="V16" s="51">
        <f>U16*(1+Projet!$C$21)</f>
        <v>0</v>
      </c>
      <c r="W16" s="51">
        <f>V16*(1+Projet!$C$21)</f>
        <v>0</v>
      </c>
      <c r="X16" s="51">
        <f>W16*(1+Projet!$C$21)</f>
        <v>0</v>
      </c>
      <c r="Y16" s="51">
        <f>X16*(1+Projet!$C$21)</f>
        <v>0</v>
      </c>
      <c r="Z16" s="51">
        <f>Y16*(1+Projet!$C$21)</f>
        <v>0</v>
      </c>
      <c r="AA16" s="51">
        <f>Z16*(1+Projet!$C$21)</f>
        <v>0</v>
      </c>
      <c r="AB16" s="51">
        <f>AA16*(1+Projet!$C$21)</f>
        <v>0</v>
      </c>
      <c r="AC16" s="51">
        <f>AB16*(1+Projet!$C$21)</f>
        <v>0</v>
      </c>
      <c r="AD16" s="51">
        <f>AC16*(1+Projet!$C$21)</f>
        <v>0</v>
      </c>
      <c r="AE16" s="51">
        <f>AD16*(1+Projet!$C$21)</f>
        <v>0</v>
      </c>
    </row>
    <row r="17" spans="1:31" s="20" customFormat="1" ht="16.05" customHeight="1">
      <c r="A17" s="33" t="s">
        <v>85</v>
      </c>
      <c r="B17" s="56">
        <f>($B$3*0.8)/25</f>
        <v>7552.249600000001</v>
      </c>
      <c r="C17" s="56">
        <f t="shared" ref="C17:Z17" si="28">($B$3*0.8)/25</f>
        <v>7552.249600000001</v>
      </c>
      <c r="D17" s="56">
        <f t="shared" si="28"/>
        <v>7552.249600000001</v>
      </c>
      <c r="E17" s="56">
        <f t="shared" si="28"/>
        <v>7552.249600000001</v>
      </c>
      <c r="F17" s="56">
        <f t="shared" si="28"/>
        <v>7552.249600000001</v>
      </c>
      <c r="G17" s="56">
        <f t="shared" si="28"/>
        <v>7552.249600000001</v>
      </c>
      <c r="H17" s="56">
        <f t="shared" si="28"/>
        <v>7552.249600000001</v>
      </c>
      <c r="I17" s="56">
        <f t="shared" si="28"/>
        <v>7552.249600000001</v>
      </c>
      <c r="J17" s="56">
        <f t="shared" si="28"/>
        <v>7552.249600000001</v>
      </c>
      <c r="K17" s="56">
        <f t="shared" si="28"/>
        <v>7552.249600000001</v>
      </c>
      <c r="L17" s="56">
        <f t="shared" si="28"/>
        <v>7552.249600000001</v>
      </c>
      <c r="M17" s="56">
        <f t="shared" si="28"/>
        <v>7552.249600000001</v>
      </c>
      <c r="N17" s="56">
        <f t="shared" si="28"/>
        <v>7552.249600000001</v>
      </c>
      <c r="O17" s="56">
        <f t="shared" si="28"/>
        <v>7552.249600000001</v>
      </c>
      <c r="P17" s="56">
        <f t="shared" si="28"/>
        <v>7552.249600000001</v>
      </c>
      <c r="Q17" s="56">
        <f t="shared" si="28"/>
        <v>7552.249600000001</v>
      </c>
      <c r="R17" s="56">
        <f t="shared" si="28"/>
        <v>7552.249600000001</v>
      </c>
      <c r="S17" s="56">
        <f t="shared" si="28"/>
        <v>7552.249600000001</v>
      </c>
      <c r="T17" s="56">
        <f t="shared" si="28"/>
        <v>7552.249600000001</v>
      </c>
      <c r="U17" s="56">
        <f t="shared" si="28"/>
        <v>7552.249600000001</v>
      </c>
      <c r="V17" s="56">
        <f t="shared" si="28"/>
        <v>7552.249600000001</v>
      </c>
      <c r="W17" s="56">
        <f t="shared" si="28"/>
        <v>7552.249600000001</v>
      </c>
      <c r="X17" s="56">
        <f t="shared" si="28"/>
        <v>7552.249600000001</v>
      </c>
      <c r="Y17" s="56">
        <f t="shared" si="28"/>
        <v>7552.249600000001</v>
      </c>
      <c r="Z17" s="56">
        <f t="shared" si="28"/>
        <v>7552.249600000001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</row>
    <row r="18" spans="1:31" s="20" customFormat="1" ht="16.05" customHeight="1">
      <c r="A18" s="32" t="s">
        <v>105</v>
      </c>
      <c r="B18" s="51">
        <f ca="1">B8-B9-B12-B13-B14-B15-B16</f>
        <v>23572.085347275297</v>
      </c>
      <c r="C18" s="51">
        <f t="shared" ref="C18:AE18" ca="1" si="29">C8-C9-C12-C13-C14-C15-C16</f>
        <v>23766.58534727529</v>
      </c>
      <c r="D18" s="51">
        <f t="shared" ca="1" si="29"/>
        <v>23962.057847275286</v>
      </c>
      <c r="E18" s="51">
        <f t="shared" ca="1" si="29"/>
        <v>24158.50770977528</v>
      </c>
      <c r="F18" s="51">
        <f t="shared" ca="1" si="29"/>
        <v>24355.939821587774</v>
      </c>
      <c r="G18" s="51">
        <f t="shared" ca="1" si="29"/>
        <v>24554.359093959334</v>
      </c>
      <c r="H18" s="51">
        <f t="shared" ca="1" si="29"/>
        <v>24753.770462692744</v>
      </c>
      <c r="I18" s="51">
        <f t="shared" ca="1" si="29"/>
        <v>24954.178888269831</v>
      </c>
      <c r="J18" s="51">
        <f t="shared" ca="1" si="29"/>
        <v>25155.5893559748</v>
      </c>
      <c r="K18" s="51">
        <f t="shared" ca="1" si="29"/>
        <v>25358.006876018295</v>
      </c>
      <c r="L18" s="51">
        <f t="shared" ca="1" si="29"/>
        <v>25561.436483662001</v>
      </c>
      <c r="M18" s="51">
        <f t="shared" ca="1" si="29"/>
        <v>25765.883239343933</v>
      </c>
      <c r="N18" s="51">
        <f t="shared" ca="1" si="29"/>
        <v>25971.352228804273</v>
      </c>
      <c r="O18" s="51">
        <f t="shared" ca="1" si="29"/>
        <v>26177.848563211912</v>
      </c>
      <c r="P18" s="51">
        <f t="shared" ca="1" si="29"/>
        <v>26385.377379291593</v>
      </c>
      <c r="Q18" s="51">
        <f t="shared" ca="1" si="29"/>
        <v>26593.943839451669</v>
      </c>
      <c r="R18" s="51">
        <f t="shared" ca="1" si="29"/>
        <v>26803.553131912548</v>
      </c>
      <c r="S18" s="51">
        <f t="shared" ca="1" si="29"/>
        <v>27014.210470835729</v>
      </c>
      <c r="T18" s="51">
        <f t="shared" ca="1" si="29"/>
        <v>27225.921096453527</v>
      </c>
      <c r="U18" s="51">
        <f t="shared" ca="1" si="29"/>
        <v>27438.690275199409</v>
      </c>
      <c r="V18" s="51">
        <f t="shared" ca="1" si="29"/>
        <v>27652.523299839027</v>
      </c>
      <c r="W18" s="51">
        <f t="shared" ca="1" si="29"/>
        <v>27867.425489601839</v>
      </c>
      <c r="X18" s="51">
        <f t="shared" ca="1" si="29"/>
        <v>28083.402190313467</v>
      </c>
      <c r="Y18" s="51">
        <f t="shared" ca="1" si="29"/>
        <v>28300.458774528659</v>
      </c>
      <c r="Z18" s="51">
        <f t="shared" ca="1" si="29"/>
        <v>28518.600641664918</v>
      </c>
      <c r="AA18" s="51">
        <f t="shared" ca="1" si="29"/>
        <v>28737.833218136868</v>
      </c>
      <c r="AB18" s="51">
        <f t="shared" ca="1" si="29"/>
        <v>28958.16195749116</v>
      </c>
      <c r="AC18" s="51">
        <f t="shared" ca="1" si="29"/>
        <v>29179.592340542244</v>
      </c>
      <c r="AD18" s="51">
        <f t="shared" ca="1" si="29"/>
        <v>29402.129875508574</v>
      </c>
      <c r="AE18" s="51">
        <f t="shared" ca="1" si="29"/>
        <v>29625.780098149728</v>
      </c>
    </row>
    <row r="19" spans="1:31" s="25" customFormat="1" ht="15" customHeight="1">
      <c r="A19" s="34" t="s">
        <v>26</v>
      </c>
      <c r="B19" s="105">
        <f>(B8-B13-B14-B15-B16)/$B$3</f>
        <v>0.16482506086663237</v>
      </c>
      <c r="C19" s="105">
        <f t="shared" ref="C19:AE19" si="30">(C8-C12-C13-C14-C15-C16)/$B$3</f>
        <v>0.16310689731441075</v>
      </c>
      <c r="D19" s="105">
        <f t="shared" si="30"/>
        <v>0.16393514324526556</v>
      </c>
      <c r="E19" s="105">
        <f t="shared" si="30"/>
        <v>0.16476753040577463</v>
      </c>
      <c r="F19" s="105">
        <f t="shared" si="30"/>
        <v>0.16560407950208628</v>
      </c>
      <c r="G19" s="105">
        <f t="shared" si="30"/>
        <v>0.16644481134387945</v>
      </c>
      <c r="H19" s="105">
        <f t="shared" si="30"/>
        <v>0.1672897468448816</v>
      </c>
      <c r="I19" s="105">
        <f t="shared" si="30"/>
        <v>0.16813890702338874</v>
      </c>
      <c r="J19" s="105">
        <f t="shared" si="30"/>
        <v>0.16899231300278844</v>
      </c>
      <c r="K19" s="105">
        <f t="shared" si="30"/>
        <v>0.16984998601208517</v>
      </c>
      <c r="L19" s="105">
        <f t="shared" si="30"/>
        <v>0.17071194738642831</v>
      </c>
      <c r="M19" s="105">
        <f t="shared" si="30"/>
        <v>0.17157821856764321</v>
      </c>
      <c r="N19" s="105">
        <f t="shared" si="30"/>
        <v>0.1724488211047642</v>
      </c>
      <c r="O19" s="105">
        <f t="shared" si="30"/>
        <v>0.17332377665457077</v>
      </c>
      <c r="P19" s="105">
        <f t="shared" si="30"/>
        <v>0.1742031069821264</v>
      </c>
      <c r="Q19" s="105">
        <f t="shared" si="30"/>
        <v>0.1750868339613198</v>
      </c>
      <c r="R19" s="105">
        <f t="shared" si="30"/>
        <v>0.17597497957540914</v>
      </c>
      <c r="S19" s="105">
        <f t="shared" si="30"/>
        <v>0.17686756591756894</v>
      </c>
      <c r="T19" s="105">
        <f t="shared" si="30"/>
        <v>0.17776461519143955</v>
      </c>
      <c r="U19" s="105">
        <f t="shared" si="30"/>
        <v>0.17866614971167949</v>
      </c>
      <c r="V19" s="105">
        <f t="shared" si="30"/>
        <v>0.17957219190452067</v>
      </c>
      <c r="W19" s="105">
        <f t="shared" si="30"/>
        <v>0.18048276430832602</v>
      </c>
      <c r="X19" s="105">
        <f t="shared" si="30"/>
        <v>0.18139788957415037</v>
      </c>
      <c r="Y19" s="105">
        <f t="shared" si="30"/>
        <v>0.18231759046630391</v>
      </c>
      <c r="Z19" s="105">
        <f t="shared" si="30"/>
        <v>0.18324188986291817</v>
      </c>
      <c r="AA19" s="105">
        <f t="shared" si="30"/>
        <v>0.18417081075651554</v>
      </c>
      <c r="AB19" s="105">
        <f t="shared" si="30"/>
        <v>0.18510437625458087</v>
      </c>
      <c r="AC19" s="105">
        <f t="shared" si="30"/>
        <v>0.18604260958013649</v>
      </c>
      <c r="AD19" s="105">
        <f t="shared" si="30"/>
        <v>0.18698553407231996</v>
      </c>
      <c r="AE19" s="105">
        <f t="shared" si="30"/>
        <v>0.18793317318696431</v>
      </c>
    </row>
    <row r="20" spans="1:31" s="20" customFormat="1" ht="41" customHeight="1">
      <c r="A20" s="82" t="s">
        <v>66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s="20" customFormat="1" ht="16.05" customHeight="1">
      <c r="A21" s="30" t="s">
        <v>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s="20" customFormat="1" ht="16.05" customHeight="1">
      <c r="A22" s="31" t="s">
        <v>109</v>
      </c>
      <c r="B22" s="52">
        <v>165</v>
      </c>
      <c r="C22" s="52">
        <f>B22*(1+Projet!$C$21)</f>
        <v>165.82499999999999</v>
      </c>
      <c r="D22" s="52">
        <f>C22*(1+Projet!$C$21)</f>
        <v>166.65412499999996</v>
      </c>
      <c r="E22" s="52">
        <f>D22*(1+Projet!$C$21)</f>
        <v>167.48739562499995</v>
      </c>
      <c r="F22" s="52">
        <f>E22*(1+Projet!$C$21)</f>
        <v>168.32483260312492</v>
      </c>
      <c r="G22" s="52">
        <f>F22*(1+Projet!$C$21)</f>
        <v>169.16645676614053</v>
      </c>
      <c r="H22" s="52">
        <f>G22*(1+Projet!$C$21)</f>
        <v>170.0122890499712</v>
      </c>
      <c r="I22" s="52">
        <f>H22*(1+Projet!$C$21)</f>
        <v>170.86235049522105</v>
      </c>
      <c r="J22" s="52">
        <f>I22*(1+Projet!$C$21)</f>
        <v>171.71666224769714</v>
      </c>
      <c r="K22" s="52">
        <f>J22*(1+Projet!$C$21)</f>
        <v>172.57524555893562</v>
      </c>
      <c r="L22" s="52">
        <f>K22*(1+Projet!$C$21)</f>
        <v>173.43812178673028</v>
      </c>
      <c r="M22" s="52">
        <f>L22*(1+Projet!$C$21)</f>
        <v>174.30531239566392</v>
      </c>
      <c r="N22" s="52">
        <f>M22*(1+Projet!$C$21)</f>
        <v>175.17683895764222</v>
      </c>
      <c r="O22" s="52">
        <f>N22*(1+Projet!$C$21)</f>
        <v>176.05272315243042</v>
      </c>
      <c r="P22" s="52">
        <f>O22*(1+Projet!$C$21)</f>
        <v>176.93298676819256</v>
      </c>
      <c r="Q22" s="52">
        <f>P22*(1+Projet!$C$21)</f>
        <v>177.81765170203352</v>
      </c>
      <c r="R22" s="52">
        <f>Q22*(1+Projet!$C$21)</f>
        <v>178.70673996054367</v>
      </c>
      <c r="S22" s="52">
        <f>R22*(1+Projet!$C$21)</f>
        <v>179.60027366034637</v>
      </c>
      <c r="T22" s="52">
        <f>S22*(1+Projet!$C$21)</f>
        <v>180.4982750286481</v>
      </c>
      <c r="U22" s="52">
        <f>T22*(1+Projet!$C$21)</f>
        <v>181.40076640379132</v>
      </c>
      <c r="V22" s="52">
        <f>U22*(1+Projet!$C$21)</f>
        <v>182.30777023581027</v>
      </c>
      <c r="W22" s="52">
        <f>V22*(1+Projet!$C$21)</f>
        <v>183.21930908698931</v>
      </c>
      <c r="X22" s="52">
        <f>W22*(1+Projet!$C$21)</f>
        <v>184.13540563242424</v>
      </c>
      <c r="Y22" s="52">
        <f>X22*(1+Projet!$C$21)</f>
        <v>185.05608266058633</v>
      </c>
      <c r="Z22" s="52">
        <f>Y22*(1+Projet!$C$21)</f>
        <v>185.98136307388924</v>
      </c>
      <c r="AA22" s="52">
        <f>Z22*(1+Projet!$C$21)</f>
        <v>186.91126988925868</v>
      </c>
      <c r="AB22" s="52">
        <f>AA22*(1+Projet!$C$21)</f>
        <v>187.84582623870494</v>
      </c>
      <c r="AC22" s="52">
        <f>AB22*(1+Projet!$C$21)</f>
        <v>188.78505536989846</v>
      </c>
      <c r="AD22" s="52">
        <f>AC22*(1+Projet!$C$21)</f>
        <v>189.72898064674794</v>
      </c>
      <c r="AE22" s="52">
        <f>AD22*(1+Projet!$C$21)</f>
        <v>190.67762554998166</v>
      </c>
    </row>
    <row r="23" spans="1:31" s="20" customFormat="1" ht="16.05" customHeight="1">
      <c r="A23" s="32" t="s">
        <v>81</v>
      </c>
      <c r="B23" s="51">
        <f ca="1">B8-B11-B12-B13-B14-B15-B16-B17-B22</f>
        <v>21382.561361140361</v>
      </c>
      <c r="C23" s="51">
        <f t="shared" ref="C23:AE23" ca="1" si="31">C8-C11-C12-C13-C14-C15-C16-C17-C22+(IF(B23&lt;0,B23,0))</f>
        <v>21801.444431486456</v>
      </c>
      <c r="D23" s="51">
        <f t="shared" ca="1" si="31"/>
        <v>22230.471201096443</v>
      </c>
      <c r="E23" s="51">
        <f t="shared" ca="1" si="31"/>
        <v>22670.020328712621</v>
      </c>
      <c r="F23" s="51">
        <f t="shared" ca="1" si="31"/>
        <v>23120.48572716261</v>
      </c>
      <c r="G23" s="51">
        <f t="shared" ca="1" si="31"/>
        <v>23582.277183969029</v>
      </c>
      <c r="H23" s="51">
        <f t="shared" ca="1" si="31"/>
        <v>24055.82100723948</v>
      </c>
      <c r="I23" s="51">
        <f t="shared" ca="1" si="31"/>
        <v>24541.560697866713</v>
      </c>
      <c r="J23" s="51">
        <f t="shared" ca="1" si="31"/>
        <v>25039.957649110842</v>
      </c>
      <c r="K23" s="51">
        <f t="shared" ca="1" si="31"/>
        <v>25551.491874679388</v>
      </c>
      <c r="L23" s="51">
        <f t="shared" ca="1" si="31"/>
        <v>26076.662766465775</v>
      </c>
      <c r="M23" s="51">
        <f t="shared" ca="1" si="31"/>
        <v>26615.989883155104</v>
      </c>
      <c r="N23" s="51">
        <f t="shared" ca="1" si="31"/>
        <v>27170.01377095417</v>
      </c>
      <c r="O23" s="51">
        <f t="shared" ca="1" si="31"/>
        <v>27739.296817755137</v>
      </c>
      <c r="P23" s="51">
        <f t="shared" ca="1" si="31"/>
        <v>28324.424142094384</v>
      </c>
      <c r="Q23" s="51">
        <f t="shared" ca="1" si="31"/>
        <v>28926.004518324531</v>
      </c>
      <c r="R23" s="51">
        <f t="shared" ca="1" si="31"/>
        <v>29544.671339474829</v>
      </c>
      <c r="S23" s="51">
        <f t="shared" ca="1" si="31"/>
        <v>30181.083619335346</v>
      </c>
      <c r="T23" s="51">
        <f t="shared" ca="1" si="31"/>
        <v>30835.927035363075</v>
      </c>
      <c r="U23" s="51">
        <f t="shared" ca="1" si="31"/>
        <v>31509.915014072983</v>
      </c>
      <c r="V23" s="51">
        <f t="shared" ca="1" si="31"/>
        <v>32203.789860645</v>
      </c>
      <c r="W23" s="51">
        <f t="shared" ca="1" si="31"/>
        <v>32918.323934548149</v>
      </c>
      <c r="X23" s="51">
        <f t="shared" ca="1" si="31"/>
        <v>33654.32087305688</v>
      </c>
      <c r="Y23" s="51">
        <f t="shared" ca="1" si="31"/>
        <v>34412.616864610551</v>
      </c>
      <c r="Z23" s="51">
        <f t="shared" ca="1" si="31"/>
        <v>35194.081974046778</v>
      </c>
      <c r="AA23" s="51">
        <f t="shared" ca="1" si="31"/>
        <v>43278.83660097231</v>
      </c>
      <c r="AB23" s="51">
        <f t="shared" ca="1" si="31"/>
        <v>43498.230783977167</v>
      </c>
      <c r="AC23" s="51">
        <f t="shared" ca="1" si="31"/>
        <v>43718.721937897048</v>
      </c>
      <c r="AD23" s="51">
        <f t="shared" ca="1" si="31"/>
        <v>43940.315547586535</v>
      </c>
      <c r="AE23" s="51">
        <f t="shared" ca="1" si="31"/>
        <v>44163.017125324463</v>
      </c>
    </row>
    <row r="24" spans="1:31" s="20" customFormat="1" ht="16.05" customHeight="1">
      <c r="A24" s="38" t="s">
        <v>65</v>
      </c>
      <c r="B24" s="73">
        <f ca="1">IF(B23&gt;0,B23*Projet!$C$4+B23*0.172,0)</f>
        <v>6029.8823038415812</v>
      </c>
      <c r="C24" s="73">
        <f ca="1">IF(C23&gt;0,C23*Projet!$C$4+C23*0.172,0)</f>
        <v>6148.0073296791807</v>
      </c>
      <c r="D24" s="73">
        <f ca="1">IF(D23&gt;0,D23*Projet!$C$4+D23*0.172,0)</f>
        <v>6268.9928787091967</v>
      </c>
      <c r="E24" s="73">
        <f ca="1">IF(E23&gt;0,E23*Projet!$C$4+E23*0.172,0)</f>
        <v>6392.9457326969587</v>
      </c>
      <c r="F24" s="73">
        <f ca="1">IF(F23&gt;0,F23*Projet!$C$4+F23*0.172,0)</f>
        <v>6519.9769750598552</v>
      </c>
      <c r="G24" s="73">
        <f ca="1">IF(G23&gt;0,G23*Projet!$C$4+G23*0.172,0)</f>
        <v>6650.2021658792655</v>
      </c>
      <c r="H24" s="73">
        <f ca="1">IF(H23&gt;0,H23*Projet!$C$4+H23*0.172,0)</f>
        <v>6783.7415240415339</v>
      </c>
      <c r="I24" s="73">
        <f ca="1">IF(I23&gt;0,I23*Projet!$C$4+I23*0.172,0)</f>
        <v>6920.7201167984131</v>
      </c>
      <c r="J24" s="73">
        <f ca="1">IF(J23&gt;0,J23*Projet!$C$4+J23*0.172,0)</f>
        <v>7061.2680570492566</v>
      </c>
      <c r="K24" s="73">
        <f ca="1">IF(K23&gt;0,K23*Projet!$C$4+K23*0.172,0)</f>
        <v>7205.5207086595874</v>
      </c>
      <c r="L24" s="73">
        <f ca="1">IF(L23&gt;0,L23*Projet!$C$4+L23*0.172,0)</f>
        <v>7353.6189001433486</v>
      </c>
      <c r="M24" s="73">
        <f ca="1">IF(M23&gt;0,M23*Projet!$C$4+M23*0.172,0)</f>
        <v>7505.7091470497389</v>
      </c>
      <c r="N24" s="73">
        <f ca="1">IF(N23&gt;0,N23*Projet!$C$4+N23*0.172,0)</f>
        <v>7661.9438834090752</v>
      </c>
      <c r="O24" s="73">
        <f ca="1">IF(O23&gt;0,O23*Projet!$C$4+O23*0.172,0)</f>
        <v>7822.4817026069486</v>
      </c>
      <c r="P24" s="73">
        <f ca="1">IF(P23&gt;0,P23*Projet!$C$4+P23*0.172,0)</f>
        <v>7987.4876080706154</v>
      </c>
      <c r="Q24" s="73">
        <f ca="1">IF(Q23&gt;0,Q23*Projet!$C$4+Q23*0.172,0)</f>
        <v>8157.1332741675178</v>
      </c>
      <c r="R24" s="73">
        <f ca="1">IF(R23&gt;0,R23*Projet!$C$4+R23*0.172,0)</f>
        <v>8331.5973177319011</v>
      </c>
      <c r="S24" s="73">
        <f ca="1">IF(S23&gt;0,S23*Projet!$C$4+S23*0.172,0)</f>
        <v>8511.0655806525665</v>
      </c>
      <c r="T24" s="73">
        <f ca="1">IF(T23&gt;0,T23*Projet!$C$4+T23*0.172,0)</f>
        <v>8695.7314239723855</v>
      </c>
      <c r="U24" s="73">
        <f ca="1">IF(U23&gt;0,U23*Projet!$C$4+U23*0.172,0)</f>
        <v>8885.7960339685815</v>
      </c>
      <c r="V24" s="73">
        <f ca="1">IF(V23&gt;0,V23*Projet!$C$4+V23*0.172,0)</f>
        <v>9081.4687407018901</v>
      </c>
      <c r="W24" s="73">
        <f ca="1">IF(W23&gt;0,W23*Projet!$C$4+W23*0.172,0)</f>
        <v>9282.9673495425777</v>
      </c>
      <c r="X24" s="73">
        <f ca="1">IF(X23&gt;0,X23*Projet!$C$4+X23*0.172,0)</f>
        <v>9490.5184862020396</v>
      </c>
      <c r="Y24" s="73">
        <f ca="1">IF(Y23&gt;0,Y23*Projet!$C$4+Y23*0.172,0)</f>
        <v>9704.3579558201745</v>
      </c>
      <c r="Z24" s="73">
        <f ca="1">IF(Z23&gt;0,Z23*Projet!$C$4+Z23*0.172,0)</f>
        <v>9924.7311166811905</v>
      </c>
      <c r="AA24" s="73">
        <f ca="1">IF(AA23&gt;0,AA23*Projet!$C$4+AA23*0.172,0)</f>
        <v>12204.631921474191</v>
      </c>
      <c r="AB24" s="73">
        <f ca="1">IF(AB23&gt;0,AB23*Projet!$C$4+AB23*0.172,0)</f>
        <v>12266.50108108156</v>
      </c>
      <c r="AC24" s="73">
        <f ca="1">IF(AC23&gt;0,AC23*Projet!$C$4+AC23*0.172,0)</f>
        <v>12328.679586486967</v>
      </c>
      <c r="AD24" s="73">
        <f ca="1">IF(AD23&gt;0,AD23*Projet!$C$4+AD23*0.172,0)</f>
        <v>12391.168984419402</v>
      </c>
      <c r="AE24" s="73">
        <f ca="1">IF(AE23&gt;0,AE23*Projet!$C$4+AE23*0.172,0)</f>
        <v>12453.970829341499</v>
      </c>
    </row>
    <row r="25" spans="1:31" s="20" customFormat="1" ht="16.05" customHeight="1">
      <c r="A25" s="31" t="s">
        <v>37</v>
      </c>
      <c r="B25" s="54"/>
      <c r="C25" s="54"/>
      <c r="D25" s="54"/>
      <c r="E25" s="54"/>
      <c r="F25" s="52">
        <f ca="1">SUM(B24:F24)</f>
        <v>31359.805219986774</v>
      </c>
      <c r="G25" s="58"/>
      <c r="H25" s="54"/>
      <c r="I25" s="54"/>
      <c r="J25" s="54"/>
      <c r="K25" s="52">
        <f ca="1">SUM(B24:K24)</f>
        <v>65981.257792414835</v>
      </c>
      <c r="L25" s="54"/>
      <c r="M25" s="54"/>
      <c r="N25" s="54"/>
      <c r="O25" s="54"/>
      <c r="P25" s="52">
        <f ca="1">SUM(B24:P24)</f>
        <v>104312.49903369456</v>
      </c>
      <c r="Q25" s="54"/>
      <c r="R25" s="54"/>
      <c r="S25" s="54"/>
      <c r="T25" s="54"/>
      <c r="U25" s="52">
        <f ca="1">SUM(B24:U24)</f>
        <v>146893.82266418752</v>
      </c>
      <c r="V25" s="54"/>
      <c r="W25" s="54"/>
      <c r="X25" s="54"/>
      <c r="Y25" s="54"/>
      <c r="Z25" s="52">
        <f ca="1">SUM(B24:Z24)</f>
        <v>194377.86631313537</v>
      </c>
      <c r="AA25" s="54"/>
      <c r="AB25" s="54"/>
      <c r="AC25" s="54"/>
      <c r="AD25" s="54"/>
      <c r="AE25" s="52">
        <f ca="1">SUM(B24:AE24)</f>
        <v>256022.81871593901</v>
      </c>
    </row>
    <row r="26" spans="1:31" s="20" customFormat="1" ht="16.05" customHeight="1">
      <c r="A26" s="32" t="s">
        <v>110</v>
      </c>
      <c r="B26" s="51">
        <f ca="1">B18-B22-B24</f>
        <v>17377.203043433714</v>
      </c>
      <c r="C26" s="51">
        <f ca="1">C18-C22-C24</f>
        <v>17452.753017596107</v>
      </c>
      <c r="D26" s="51">
        <f ca="1">D18-D22-D24</f>
        <v>17526.410843566089</v>
      </c>
      <c r="E26" s="51">
        <f ca="1">E18-E22-E24</f>
        <v>17598.074581453322</v>
      </c>
      <c r="F26" s="51">
        <f t="shared" ref="F26:AE26" ca="1" si="32">F18-F22-F24</f>
        <v>17667.638013924792</v>
      </c>
      <c r="G26" s="51">
        <f t="shared" ca="1" si="32"/>
        <v>17734.990471313929</v>
      </c>
      <c r="H26" s="51">
        <f t="shared" ca="1" si="32"/>
        <v>17800.016649601239</v>
      </c>
      <c r="I26" s="51">
        <f t="shared" ca="1" si="32"/>
        <v>17862.596420976199</v>
      </c>
      <c r="J26" s="51">
        <f t="shared" ca="1" si="32"/>
        <v>17922.604636677846</v>
      </c>
      <c r="K26" s="51">
        <f t="shared" ca="1" si="32"/>
        <v>17979.910921799772</v>
      </c>
      <c r="L26" s="51">
        <f t="shared" ca="1" si="32"/>
        <v>18034.379461731922</v>
      </c>
      <c r="M26" s="51">
        <f t="shared" ca="1" si="32"/>
        <v>18085.86877989853</v>
      </c>
      <c r="N26" s="51">
        <f t="shared" ca="1" si="32"/>
        <v>18134.231506437554</v>
      </c>
      <c r="O26" s="51">
        <f t="shared" ca="1" si="32"/>
        <v>18179.314137452529</v>
      </c>
      <c r="P26" s="51">
        <f t="shared" ca="1" si="32"/>
        <v>18220.956784452785</v>
      </c>
      <c r="Q26" s="51">
        <f t="shared" ca="1" si="32"/>
        <v>18258.992913582118</v>
      </c>
      <c r="R26" s="51">
        <f t="shared" ca="1" si="32"/>
        <v>18293.249074220104</v>
      </c>
      <c r="S26" s="51">
        <f t="shared" ca="1" si="32"/>
        <v>18323.544616522813</v>
      </c>
      <c r="T26" s="51">
        <f t="shared" ca="1" si="32"/>
        <v>18349.691397452494</v>
      </c>
      <c r="U26" s="51">
        <f t="shared" ca="1" si="32"/>
        <v>18371.493474827035</v>
      </c>
      <c r="V26" s="51">
        <f t="shared" ca="1" si="32"/>
        <v>18388.746788901328</v>
      </c>
      <c r="W26" s="51">
        <f t="shared" ca="1" si="32"/>
        <v>18401.238830972274</v>
      </c>
      <c r="X26" s="51">
        <f t="shared" ca="1" si="32"/>
        <v>18408.748298479004</v>
      </c>
      <c r="Y26" s="51">
        <f t="shared" ca="1" si="32"/>
        <v>18411.044736047897</v>
      </c>
      <c r="Z26" s="51">
        <f t="shared" ca="1" si="32"/>
        <v>18407.888161909839</v>
      </c>
      <c r="AA26" s="51">
        <f t="shared" ca="1" si="32"/>
        <v>16346.290026773417</v>
      </c>
      <c r="AB26" s="51">
        <f t="shared" ca="1" si="32"/>
        <v>16503.815050170895</v>
      </c>
      <c r="AC26" s="51">
        <f t="shared" ca="1" si="32"/>
        <v>16662.127698685377</v>
      </c>
      <c r="AD26" s="51">
        <f t="shared" ca="1" si="32"/>
        <v>16821.231910442424</v>
      </c>
      <c r="AE26" s="51">
        <f t="shared" ca="1" si="32"/>
        <v>16981.131643258246</v>
      </c>
    </row>
    <row r="27" spans="1:31" s="20" customFormat="1" ht="16.05" customHeight="1">
      <c r="A27" s="33" t="s">
        <v>78</v>
      </c>
      <c r="B27" s="56">
        <f ca="1">B26/12</f>
        <v>1448.1002536194762</v>
      </c>
      <c r="C27" s="56">
        <f t="shared" ref="C27:AE27" ca="1" si="33">C26/12</f>
        <v>1454.3960847996757</v>
      </c>
      <c r="D27" s="56">
        <f t="shared" ca="1" si="33"/>
        <v>1460.5342369638408</v>
      </c>
      <c r="E27" s="56">
        <f t="shared" ca="1" si="33"/>
        <v>1466.5062151211102</v>
      </c>
      <c r="F27" s="56">
        <f t="shared" ca="1" si="33"/>
        <v>1472.3031678270661</v>
      </c>
      <c r="G27" s="56">
        <f t="shared" ca="1" si="33"/>
        <v>1477.915872609494</v>
      </c>
      <c r="H27" s="56">
        <f t="shared" ca="1" si="33"/>
        <v>1483.3347208001032</v>
      </c>
      <c r="I27" s="56">
        <f t="shared" ca="1" si="33"/>
        <v>1488.5497017480166</v>
      </c>
      <c r="J27" s="56">
        <f t="shared" ca="1" si="33"/>
        <v>1493.5503863898205</v>
      </c>
      <c r="K27" s="56">
        <f t="shared" ca="1" si="33"/>
        <v>1498.3259101499809</v>
      </c>
      <c r="L27" s="56">
        <f t="shared" ca="1" si="33"/>
        <v>1502.8649551443268</v>
      </c>
      <c r="M27" s="56">
        <f t="shared" ca="1" si="33"/>
        <v>1507.1557316582109</v>
      </c>
      <c r="N27" s="56">
        <f t="shared" ca="1" si="33"/>
        <v>1511.1859588697962</v>
      </c>
      <c r="O27" s="56">
        <f t="shared" ca="1" si="33"/>
        <v>1514.9428447877108</v>
      </c>
      <c r="P27" s="56">
        <f t="shared" ca="1" si="33"/>
        <v>1518.4130653710654</v>
      </c>
      <c r="Q27" s="56">
        <f t="shared" ca="1" si="33"/>
        <v>1521.5827427985098</v>
      </c>
      <c r="R27" s="56">
        <f t="shared" ca="1" si="33"/>
        <v>1524.4374228516754</v>
      </c>
      <c r="S27" s="56">
        <f t="shared" ca="1" si="33"/>
        <v>1526.9620513769012</v>
      </c>
      <c r="T27" s="56">
        <f t="shared" ca="1" si="33"/>
        <v>1529.1409497877078</v>
      </c>
      <c r="U27" s="56">
        <f t="shared" ca="1" si="33"/>
        <v>1530.9577895689197</v>
      </c>
      <c r="V27" s="56">
        <f t="shared" ca="1" si="33"/>
        <v>1532.3955657417773</v>
      </c>
      <c r="W27" s="56">
        <f t="shared" ca="1" si="33"/>
        <v>1533.4365692476895</v>
      </c>
      <c r="X27" s="56">
        <f t="shared" ca="1" si="33"/>
        <v>1534.0623582065837</v>
      </c>
      <c r="Y27" s="56">
        <f t="shared" ca="1" si="33"/>
        <v>1534.2537280039915</v>
      </c>
      <c r="Z27" s="56">
        <f t="shared" ca="1" si="33"/>
        <v>1533.9906801591533</v>
      </c>
      <c r="AA27" s="56">
        <f t="shared" ca="1" si="33"/>
        <v>1362.1908355644514</v>
      </c>
      <c r="AB27" s="56">
        <f t="shared" ca="1" si="33"/>
        <v>1375.3179208475747</v>
      </c>
      <c r="AC27" s="56">
        <f t="shared" ca="1" si="33"/>
        <v>1388.5106415571147</v>
      </c>
      <c r="AD27" s="56">
        <f t="shared" ca="1" si="33"/>
        <v>1401.769325870202</v>
      </c>
      <c r="AE27" s="56">
        <f t="shared" ca="1" si="33"/>
        <v>1415.0943036048538</v>
      </c>
    </row>
    <row r="28" spans="1:31" s="25" customFormat="1" ht="16.05" customHeight="1">
      <c r="A28" s="44" t="s">
        <v>54</v>
      </c>
      <c r="B28" s="77">
        <f ca="1">(B8-B13-B14-B15-B16-B22-B24)/$B$3</f>
        <v>0.13857642711875801</v>
      </c>
      <c r="C28" s="77">
        <f t="shared" ref="C28:AE28" ca="1" si="34">(C8-C13-C14-C15-C16-C22-C24)/$B$3</f>
        <v>0.13889654354780143</v>
      </c>
      <c r="D28" s="77">
        <f t="shared" ca="1" si="34"/>
        <v>0.13920864266473729</v>
      </c>
      <c r="E28" s="77">
        <f t="shared" ca="1" si="34"/>
        <v>0.13951229253515357</v>
      </c>
      <c r="F28" s="77">
        <f t="shared" ca="1" si="34"/>
        <v>0.13980704310048014</v>
      </c>
      <c r="G28" s="77">
        <f t="shared" ca="1" si="34"/>
        <v>0.14009242543695005</v>
      </c>
      <c r="H28" s="77">
        <f t="shared" ca="1" si="34"/>
        <v>0.14036795098435706</v>
      </c>
      <c r="I28" s="77">
        <f t="shared" ca="1" si="34"/>
        <v>0.1406331107433775</v>
      </c>
      <c r="J28" s="77">
        <f t="shared" ca="1" si="34"/>
        <v>0.1408873744401776</v>
      </c>
      <c r="K28" s="77">
        <f t="shared" ca="1" si="34"/>
        <v>0.14113018965697094</v>
      </c>
      <c r="L28" s="77">
        <f t="shared" ca="1" si="34"/>
        <v>0.1413609809271415</v>
      </c>
      <c r="M28" s="77">
        <f t="shared" ca="1" si="34"/>
        <v>0.14157914879348574</v>
      </c>
      <c r="N28" s="77">
        <f t="shared" ca="1" si="34"/>
        <v>0.14178406882807371</v>
      </c>
      <c r="O28" s="77">
        <f t="shared" ca="1" si="34"/>
        <v>0.14197509061216293</v>
      </c>
      <c r="P28" s="77">
        <f t="shared" ca="1" si="34"/>
        <v>0.14215153667453992</v>
      </c>
      <c r="Q28" s="77">
        <f t="shared" ca="1" si="34"/>
        <v>0.14231270138659324</v>
      </c>
      <c r="R28" s="77">
        <f t="shared" ca="1" si="34"/>
        <v>0.14245784981235707</v>
      </c>
      <c r="S28" s="77">
        <f t="shared" ca="1" si="34"/>
        <v>0.14258621651168948</v>
      </c>
      <c r="T28" s="77">
        <f t="shared" ca="1" si="34"/>
        <v>0.14269700429467666</v>
      </c>
      <c r="U28" s="77">
        <f t="shared" ca="1" si="34"/>
        <v>0.14278938292527507</v>
      </c>
      <c r="V28" s="77">
        <f t="shared" ca="1" si="34"/>
        <v>0.1428624877721246</v>
      </c>
      <c r="W28" s="77">
        <f t="shared" ca="1" si="34"/>
        <v>0.14291541840437891</v>
      </c>
      <c r="X28" s="77">
        <f t="shared" ca="1" si="34"/>
        <v>0.14294723713031393</v>
      </c>
      <c r="Y28" s="77">
        <f t="shared" ca="1" si="34"/>
        <v>0.14295696747638256</v>
      </c>
      <c r="Z28" s="77">
        <f t="shared" ca="1" si="34"/>
        <v>0.1429435926042891</v>
      </c>
      <c r="AA28" s="77">
        <f t="shared" ca="1" si="34"/>
        <v>0.13420829599487016</v>
      </c>
      <c r="AB28" s="77">
        <f t="shared" ca="1" si="34"/>
        <v>0.13487575284755676</v>
      </c>
      <c r="AC28" s="77">
        <f t="shared" ca="1" si="34"/>
        <v>0.13554654698450677</v>
      </c>
      <c r="AD28" s="77">
        <f t="shared" ca="1" si="34"/>
        <v>0.13622069509214157</v>
      </c>
      <c r="AE28" s="77">
        <f t="shared" ca="1" si="34"/>
        <v>0.13689821394031451</v>
      </c>
    </row>
    <row r="29" spans="1:31" s="20" customFormat="1" ht="17" customHeight="1">
      <c r="A29" s="31" t="s">
        <v>83</v>
      </c>
      <c r="B29" s="75"/>
      <c r="C29" s="54"/>
      <c r="D29" s="54"/>
      <c r="F29" s="76">
        <f ca="1">AVERAGE(B28:F28)</f>
        <v>0.13920018979338605</v>
      </c>
      <c r="G29" s="58"/>
      <c r="H29" s="54"/>
      <c r="I29" s="54"/>
      <c r="J29" s="54"/>
      <c r="K29" s="76">
        <f ca="1">AVERAGE(B28:K28)</f>
        <v>0.13991120002287633</v>
      </c>
      <c r="L29" s="54"/>
      <c r="M29" s="54"/>
      <c r="N29" s="54"/>
      <c r="O29" s="54"/>
      <c r="P29" s="76">
        <f ca="1">AVERAGE(B28:P28)</f>
        <v>0.14053085507094445</v>
      </c>
      <c r="Q29" s="54"/>
      <c r="R29" s="54"/>
      <c r="S29" s="54"/>
      <c r="T29" s="54"/>
      <c r="U29" s="76">
        <f ca="1">AVERAGE(B28:U28)</f>
        <v>0.14104029904973794</v>
      </c>
      <c r="V29" s="54"/>
      <c r="W29" s="54"/>
      <c r="X29" s="54"/>
      <c r="Y29" s="54"/>
      <c r="Z29" s="76">
        <f ca="1">AVERAGE(B28:Z28)</f>
        <v>0.14141726737528992</v>
      </c>
      <c r="AA29" s="54"/>
      <c r="AB29" s="54"/>
      <c r="AC29" s="54"/>
      <c r="AD29" s="54"/>
      <c r="AE29" s="76">
        <f ca="1">AVERAGE(B28:AE28)</f>
        <v>0.14043937297472125</v>
      </c>
    </row>
    <row r="30" spans="1:31" ht="16.05" customHeight="1">
      <c r="A30" s="31"/>
      <c r="B30" s="59"/>
      <c r="C30" s="60"/>
      <c r="D30" s="60"/>
    </row>
    <row r="31" spans="1:31" ht="16.05" customHeight="1">
      <c r="A31" s="30" t="s">
        <v>102</v>
      </c>
      <c r="B31" s="69"/>
      <c r="C31" s="70"/>
      <c r="D31" s="70"/>
      <c r="E31" s="71"/>
      <c r="F31" s="71"/>
      <c r="G31" s="72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</row>
    <row r="32" spans="1:31" s="20" customFormat="1" ht="16.05" customHeight="1">
      <c r="A32" s="31" t="s">
        <v>108</v>
      </c>
      <c r="B32" s="52">
        <v>750</v>
      </c>
      <c r="C32" s="52">
        <f>B32*(1+Projet!$C$21)</f>
        <v>753.74999999999989</v>
      </c>
      <c r="D32" s="52">
        <f>C32*(1+Projet!$C$21)</f>
        <v>757.51874999999984</v>
      </c>
      <c r="E32" s="52">
        <f>D32*(1+Projet!$C$21)</f>
        <v>761.30634374999977</v>
      </c>
      <c r="F32" s="52">
        <f>E32*(1+Projet!$C$21)</f>
        <v>765.11287546874973</v>
      </c>
      <c r="G32" s="52">
        <f>F32*(1+Projet!$C$21)</f>
        <v>768.93843984609339</v>
      </c>
      <c r="H32" s="52">
        <f>G32*(1+Projet!$C$21)</f>
        <v>772.78313204532378</v>
      </c>
      <c r="I32" s="52">
        <f>H32*(1+Projet!$C$21)</f>
        <v>776.64704770555034</v>
      </c>
      <c r="J32" s="52">
        <f>I32*(1+Projet!$C$21)</f>
        <v>780.53028294407795</v>
      </c>
      <c r="K32" s="52">
        <f>J32*(1+Projet!$C$21)</f>
        <v>784.43293435879821</v>
      </c>
      <c r="L32" s="52">
        <f>K32*(1+Projet!$C$21)</f>
        <v>788.3550990305921</v>
      </c>
      <c r="M32" s="52">
        <f>L32*(1+Projet!$C$21)</f>
        <v>792.29687452574501</v>
      </c>
      <c r="N32" s="52">
        <f>M32*(1+Projet!$C$21)</f>
        <v>796.25835889837367</v>
      </c>
      <c r="O32" s="52">
        <f>N32*(1+Projet!$C$21)</f>
        <v>800.23965069286544</v>
      </c>
      <c r="P32" s="52">
        <f>O32*(1+Projet!$C$21)</f>
        <v>804.24084894632972</v>
      </c>
      <c r="Q32" s="52">
        <f>P32*(1+Projet!$C$21)</f>
        <v>808.26205319106123</v>
      </c>
      <c r="R32" s="52">
        <f>Q32*(1+Projet!$C$21)</f>
        <v>812.30336345701642</v>
      </c>
      <c r="S32" s="52">
        <f>R32*(1+Projet!$C$21)</f>
        <v>816.36488027430141</v>
      </c>
      <c r="T32" s="52">
        <f>S32*(1+Projet!$C$21)</f>
        <v>820.44670467567278</v>
      </c>
      <c r="U32" s="52">
        <f>T32*(1+Projet!$C$21)</f>
        <v>824.54893819905101</v>
      </c>
      <c r="V32" s="52">
        <f>U32*(1+Projet!$C$21)</f>
        <v>828.67168289004621</v>
      </c>
      <c r="W32" s="52">
        <f>V32*(1+Projet!$C$21)</f>
        <v>832.81504130449639</v>
      </c>
      <c r="X32" s="52">
        <f>W32*(1+Projet!$C$21)</f>
        <v>836.97911651101879</v>
      </c>
      <c r="Y32" s="52">
        <f>X32*(1+Projet!$C$21)</f>
        <v>841.16401209357377</v>
      </c>
      <c r="Z32" s="52">
        <f>Y32*(1+Projet!$C$21)</f>
        <v>845.36983215404155</v>
      </c>
      <c r="AA32" s="52">
        <f>Z32*(1+Projet!$C$21)</f>
        <v>849.59668131481169</v>
      </c>
      <c r="AB32" s="52">
        <f>AA32*(1+Projet!$C$21)</f>
        <v>853.8446647213857</v>
      </c>
      <c r="AC32" s="52">
        <f>AB32*(1+Projet!$C$21)</f>
        <v>858.11388804499256</v>
      </c>
      <c r="AD32" s="52">
        <f>AC32*(1+Projet!$C$21)</f>
        <v>862.40445748521745</v>
      </c>
      <c r="AE32" s="52">
        <f>AD32*(1+Projet!$C$21)</f>
        <v>866.71647977264342</v>
      </c>
    </row>
    <row r="33" spans="1:32" s="20" customFormat="1" ht="16.05" customHeight="1">
      <c r="A33" s="32" t="s">
        <v>81</v>
      </c>
      <c r="B33" s="51">
        <f ca="1">B8-B11-B12-B13-B14-B15-B16-B17-B32</f>
        <v>20797.561361140361</v>
      </c>
      <c r="C33" s="51">
        <f ca="1">C8-C11-C12-C13-C14-C15-C16-C17-C32+(IF(B33&lt;0,B33,0))</f>
        <v>21213.519431486457</v>
      </c>
      <c r="D33" s="51">
        <f t="shared" ref="D33:AE33" ca="1" si="35">D8-D11-D12-D13-D14-D15-D16-D17-D32+(IF(C33&lt;0,C33,0))</f>
        <v>21639.606576096445</v>
      </c>
      <c r="E33" s="51">
        <f t="shared" ca="1" si="35"/>
        <v>22076.201380587623</v>
      </c>
      <c r="F33" s="51">
        <f t="shared" ca="1" si="35"/>
        <v>22523.697684296985</v>
      </c>
      <c r="G33" s="51">
        <f t="shared" ca="1" si="35"/>
        <v>22982.505200889074</v>
      </c>
      <c r="H33" s="51">
        <f t="shared" ca="1" si="35"/>
        <v>23453.050164244127</v>
      </c>
      <c r="I33" s="51">
        <f t="shared" ca="1" si="35"/>
        <v>23935.77600065638</v>
      </c>
      <c r="J33" s="51">
        <f t="shared" ca="1" si="35"/>
        <v>24431.144028414463</v>
      </c>
      <c r="K33" s="51">
        <f t="shared" ca="1" si="35"/>
        <v>24939.634185879524</v>
      </c>
      <c r="L33" s="51">
        <f t="shared" ca="1" si="35"/>
        <v>25461.745789221914</v>
      </c>
      <c r="M33" s="51">
        <f t="shared" ca="1" si="35"/>
        <v>25997.998321025021</v>
      </c>
      <c r="N33" s="51">
        <f t="shared" ca="1" si="35"/>
        <v>26548.932251013441</v>
      </c>
      <c r="O33" s="51">
        <f t="shared" ca="1" si="35"/>
        <v>27115.109890214702</v>
      </c>
      <c r="P33" s="51">
        <f t="shared" ca="1" si="35"/>
        <v>27697.116279916245</v>
      </c>
      <c r="Q33" s="51">
        <f t="shared" ca="1" si="35"/>
        <v>28295.560116835502</v>
      </c>
      <c r="R33" s="51">
        <f t="shared" ca="1" si="35"/>
        <v>28911.074715978357</v>
      </c>
      <c r="S33" s="51">
        <f t="shared" ca="1" si="35"/>
        <v>29544.319012721393</v>
      </c>
      <c r="T33" s="51">
        <f t="shared" ca="1" si="35"/>
        <v>30195.978605716049</v>
      </c>
      <c r="U33" s="51">
        <f t="shared" ca="1" si="35"/>
        <v>30866.766842277724</v>
      </c>
      <c r="V33" s="51">
        <f t="shared" ca="1" si="35"/>
        <v>31557.425947990763</v>
      </c>
      <c r="W33" s="51">
        <f t="shared" ca="1" si="35"/>
        <v>32268.728202330643</v>
      </c>
      <c r="X33" s="51">
        <f t="shared" ca="1" si="35"/>
        <v>33001.477162178286</v>
      </c>
      <c r="Y33" s="51">
        <f t="shared" ca="1" si="35"/>
        <v>33756.50893517756</v>
      </c>
      <c r="Z33" s="51">
        <f t="shared" ca="1" si="35"/>
        <v>34534.693504966621</v>
      </c>
      <c r="AA33" s="51">
        <f t="shared" ca="1" si="35"/>
        <v>42616.151189546756</v>
      </c>
      <c r="AB33" s="51">
        <f t="shared" ca="1" si="35"/>
        <v>42832.231945494488</v>
      </c>
      <c r="AC33" s="51">
        <f t="shared" ca="1" si="35"/>
        <v>43049.393105221949</v>
      </c>
      <c r="AD33" s="51">
        <f t="shared" ca="1" si="35"/>
        <v>43267.640070748064</v>
      </c>
      <c r="AE33" s="51">
        <f t="shared" ca="1" si="35"/>
        <v>43486.978271101798</v>
      </c>
    </row>
    <row r="34" spans="1:32" ht="15" customHeight="1">
      <c r="A34" s="34" t="s">
        <v>80</v>
      </c>
      <c r="B34" s="107" cm="1">
        <f t="array" aca="1" ref="B34" ca="1">_xlfn.IFS(B33&lt;0,0,B33&lt;38120,B33*15%,B33&gt;38120,B33*25%)</f>
        <v>3119.6342041710541</v>
      </c>
      <c r="C34" s="107" cm="1">
        <f t="array" aca="1" ref="C34" ca="1">_xlfn.IFS(C33&lt;0,0,C33&lt;38120,C33*15%,C33&gt;38120,C33*25%)</f>
        <v>3182.0279147229685</v>
      </c>
      <c r="D34" s="107" cm="1">
        <f t="array" aca="1" ref="D34" ca="1">_xlfn.IFS(D33&lt;0,0,D33&lt;38120,D33*15%,D33&gt;38120,D33*25%)</f>
        <v>3245.9409864144668</v>
      </c>
      <c r="E34" s="107" cm="1">
        <f t="array" aca="1" ref="E34" ca="1">_xlfn.IFS(E33&lt;0,0,E33&lt;38120,E33*15%,E33&gt;38120,E33*25%)</f>
        <v>3311.4302070881436</v>
      </c>
      <c r="F34" s="107" cm="1">
        <f t="array" aca="1" ref="F34" ca="1">_xlfn.IFS(F33&lt;0,0,F33&lt;38120,F33*15%,F33&gt;38120,F33*25%)</f>
        <v>3378.5546526445478</v>
      </c>
      <c r="G34" s="107" cm="1">
        <f t="array" aca="1" ref="G34" ca="1">_xlfn.IFS(G33&lt;0,0,G33&lt;38120,G33*15%,G33&gt;38120,G33*25%)</f>
        <v>3447.3757801333609</v>
      </c>
      <c r="H34" s="107" cm="1">
        <f t="array" aca="1" ref="H34" ca="1">_xlfn.IFS(H33&lt;0,0,H33&lt;38120,H33*15%,H33&gt;38120,H33*25%)</f>
        <v>3517.9575246366189</v>
      </c>
      <c r="I34" s="107" cm="1">
        <f t="array" aca="1" ref="I34" ca="1">_xlfn.IFS(I33&lt;0,0,I33&lt;38120,I33*15%,I33&gt;38120,I33*25%)</f>
        <v>3590.3664000984568</v>
      </c>
      <c r="J34" s="107" cm="1">
        <f t="array" aca="1" ref="J34" ca="1">_xlfn.IFS(J33&lt;0,0,J33&lt;38120,J33*15%,J33&gt;38120,J33*25%)</f>
        <v>3664.6716042621692</v>
      </c>
      <c r="K34" s="107" cm="1">
        <f t="array" aca="1" ref="K34" ca="1">_xlfn.IFS(K33&lt;0,0,K33&lt;38120,K33*15%,K33&gt;38120,K33*25%)</f>
        <v>3740.9451278819283</v>
      </c>
      <c r="L34" s="107" cm="1">
        <f t="array" aca="1" ref="L34" ca="1">_xlfn.IFS(L33&lt;0,0,L33&lt;38120,L33*15%,L33&gt;38120,L33*25%)</f>
        <v>3819.261868383287</v>
      </c>
      <c r="M34" s="107" cm="1">
        <f t="array" aca="1" ref="M34" ca="1">_xlfn.IFS(M33&lt;0,0,M33&lt;38120,M33*15%,M33&gt;38120,M33*25%)</f>
        <v>3899.6997481537528</v>
      </c>
      <c r="N34" s="107" cm="1">
        <f t="array" aca="1" ref="N34" ca="1">_xlfn.IFS(N33&lt;0,0,N33&lt;38120,N33*15%,N33&gt;38120,N33*25%)</f>
        <v>3982.3398376520158</v>
      </c>
      <c r="O34" s="107" cm="1">
        <f t="array" aca="1" ref="O34" ca="1">_xlfn.IFS(O33&lt;0,0,O33&lt;38120,O33*15%,O33&gt;38120,O33*25%)</f>
        <v>4067.2664835322053</v>
      </c>
      <c r="P34" s="107" cm="1">
        <f t="array" aca="1" ref="P34" ca="1">_xlfn.IFS(P33&lt;0,0,P33&lt;38120,P33*15%,P33&gt;38120,P33*25%)</f>
        <v>4154.5674419874367</v>
      </c>
      <c r="Q34" s="107" cm="1">
        <f t="array" aca="1" ref="Q34" ca="1">_xlfn.IFS(Q33&lt;0,0,Q33&lt;38120,Q33*15%,Q33&gt;38120,Q33*25%)</f>
        <v>4244.3340175253252</v>
      </c>
      <c r="R34" s="107" cm="1">
        <f t="array" aca="1" ref="R34" ca="1">_xlfn.IFS(R33&lt;0,0,R33&lt;38120,R33*15%,R33&gt;38120,R33*25%)</f>
        <v>4336.6612073967535</v>
      </c>
      <c r="S34" s="107" cm="1">
        <f t="array" aca="1" ref="S34" ca="1">_xlfn.IFS(S33&lt;0,0,S33&lt;38120,S33*15%,S33&gt;38120,S33*25%)</f>
        <v>4431.6478519082084</v>
      </c>
      <c r="T34" s="107" cm="1">
        <f t="array" aca="1" ref="T34" ca="1">_xlfn.IFS(T33&lt;0,0,T33&lt;38120,T33*15%,T33&gt;38120,T33*25%)</f>
        <v>4529.3967908574068</v>
      </c>
      <c r="U34" s="107" cm="1">
        <f t="array" aca="1" ref="U34" ca="1">_xlfn.IFS(U33&lt;0,0,U33&lt;38120,U33*15%,U33&gt;38120,U33*25%)</f>
        <v>4630.0150263416581</v>
      </c>
      <c r="V34" s="107" cm="1">
        <f t="array" aca="1" ref="V34" ca="1">_xlfn.IFS(V33&lt;0,0,V33&lt;38120,V33*15%,V33&gt;38120,V33*25%)</f>
        <v>4733.6138921986139</v>
      </c>
      <c r="W34" s="107" cm="1">
        <f t="array" aca="1" ref="W34" ca="1">_xlfn.IFS(W33&lt;0,0,W33&lt;38120,W33*15%,W33&gt;38120,W33*25%)</f>
        <v>4840.309230349596</v>
      </c>
      <c r="X34" s="107" cm="1">
        <f t="array" aca="1" ref="X34" ca="1">_xlfn.IFS(X33&lt;0,0,X33&lt;38120,X33*15%,X33&gt;38120,X33*25%)</f>
        <v>4950.2215743267425</v>
      </c>
      <c r="Y34" s="107" cm="1">
        <f t="array" aca="1" ref="Y34" ca="1">_xlfn.IFS(Y33&lt;0,0,Y33&lt;38120,Y33*15%,Y33&gt;38120,Y33*25%)</f>
        <v>5063.4763402766339</v>
      </c>
      <c r="Z34" s="107" cm="1">
        <f t="array" aca="1" ref="Z34" ca="1">_xlfn.IFS(Z33&lt;0,0,Z33&lt;38120,Z33*15%,Z33&gt;38120,Z33*25%)</f>
        <v>5180.2040257449926</v>
      </c>
      <c r="AA34" s="107" cm="1">
        <f t="array" aca="1" ref="AA34" ca="1">_xlfn.IFS(AA33&lt;0,0,AA33&lt;38120,AA33*15%,AA33&gt;38120,AA33*25%)</f>
        <v>10654.037797386689</v>
      </c>
      <c r="AB34" s="107" cm="1">
        <f t="array" aca="1" ref="AB34" ca="1">_xlfn.IFS(AB33&lt;0,0,AB33&lt;38120,AB33*15%,AB33&gt;38120,AB33*25%)</f>
        <v>10708.057986373622</v>
      </c>
      <c r="AC34" s="107" cm="1">
        <f t="array" aca="1" ref="AC34" ca="1">_xlfn.IFS(AC33&lt;0,0,AC33&lt;38120,AC33*15%,AC33&gt;38120,AC33*25%)</f>
        <v>10762.348276305487</v>
      </c>
      <c r="AD34" s="107" cm="1">
        <f t="array" aca="1" ref="AD34" ca="1">_xlfn.IFS(AD33&lt;0,0,AD33&lt;38120,AD33*15%,AD33&gt;38120,AD33*25%)</f>
        <v>10816.910017687016</v>
      </c>
      <c r="AE34" s="107" cm="1">
        <f t="array" aca="1" ref="AE34" ca="1">_xlfn.IFS(AE33&lt;0,0,AE33&lt;38120,AE33*15%,AE33&gt;38120,AE33*25%)</f>
        <v>10871.744567775449</v>
      </c>
      <c r="AF34" s="108"/>
    </row>
    <row r="35" spans="1:32" ht="19.05" hidden="1" customHeight="1">
      <c r="A35" s="34"/>
      <c r="B35" s="107"/>
      <c r="C35" s="107"/>
      <c r="D35" s="107"/>
      <c r="E35" s="107"/>
      <c r="F35" s="107">
        <f ca="1">SUM(B34:F34)</f>
        <v>16237.587965041181</v>
      </c>
      <c r="G35" s="107"/>
      <c r="H35" s="107"/>
      <c r="I35" s="107"/>
      <c r="J35" s="107"/>
      <c r="K35" s="107">
        <f ca="1">SUM(B34:K34)</f>
        <v>34198.904402053711</v>
      </c>
      <c r="L35" s="107"/>
      <c r="M35" s="107"/>
      <c r="N35" s="107"/>
      <c r="O35" s="107"/>
      <c r="P35" s="107">
        <f ca="1">SUM(B34:P34)</f>
        <v>54122.039781762403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>
        <f ca="1">SUM(B34:Z34)</f>
        <v>101061.91973868835</v>
      </c>
      <c r="AA35" s="107"/>
      <c r="AB35" s="107"/>
      <c r="AC35" s="107"/>
      <c r="AD35" s="107"/>
      <c r="AE35" s="107">
        <f ca="1">SUM(B34:AE34)</f>
        <v>154875.01838421662</v>
      </c>
      <c r="AF35" s="108"/>
    </row>
    <row r="36" spans="1:32" ht="16.05" customHeight="1">
      <c r="A36" s="31" t="s">
        <v>110</v>
      </c>
      <c r="B36" s="109">
        <f ca="1">B18-B32-B34</f>
        <v>19702.451143104241</v>
      </c>
      <c r="C36" s="109">
        <f t="shared" ref="C36:AE36" ca="1" si="36">C18-C32-C34</f>
        <v>19830.807432552319</v>
      </c>
      <c r="D36" s="109">
        <f t="shared" ca="1" si="36"/>
        <v>19958.598110860821</v>
      </c>
      <c r="E36" s="109">
        <f t="shared" ca="1" si="36"/>
        <v>20085.771158937139</v>
      </c>
      <c r="F36" s="109">
        <f t="shared" ca="1" si="36"/>
        <v>20212.272293474478</v>
      </c>
      <c r="G36" s="109">
        <f t="shared" ca="1" si="36"/>
        <v>20338.044873979881</v>
      </c>
      <c r="H36" s="109">
        <f t="shared" ca="1" si="36"/>
        <v>20463.029806010803</v>
      </c>
      <c r="I36" s="109">
        <f t="shared" ca="1" si="36"/>
        <v>20587.165440465822</v>
      </c>
      <c r="J36" s="109">
        <f t="shared" ca="1" si="36"/>
        <v>20710.387468768553</v>
      </c>
      <c r="K36" s="109">
        <f t="shared" ca="1" si="36"/>
        <v>20832.628813777566</v>
      </c>
      <c r="L36" s="109">
        <f t="shared" ca="1" si="36"/>
        <v>20953.819516248121</v>
      </c>
      <c r="M36" s="109">
        <f t="shared" ca="1" si="36"/>
        <v>21073.886616664437</v>
      </c>
      <c r="N36" s="109">
        <f t="shared" ca="1" si="36"/>
        <v>21192.754032253884</v>
      </c>
      <c r="O36" s="109">
        <f t="shared" ca="1" si="36"/>
        <v>21310.342428986838</v>
      </c>
      <c r="P36" s="109">
        <f t="shared" ca="1" si="36"/>
        <v>21426.569088357825</v>
      </c>
      <c r="Q36" s="109">
        <f t="shared" ca="1" si="36"/>
        <v>21541.347768735282</v>
      </c>
      <c r="R36" s="109">
        <f t="shared" ca="1" si="36"/>
        <v>21654.588561058779</v>
      </c>
      <c r="S36" s="109">
        <f t="shared" ca="1" si="36"/>
        <v>21766.19773865322</v>
      </c>
      <c r="T36" s="109">
        <f ca="1">T18-T32-T34</f>
        <v>21876.077600920449</v>
      </c>
      <c r="U36" s="109">
        <f t="shared" ca="1" si="36"/>
        <v>21984.126310658699</v>
      </c>
      <c r="V36" s="109">
        <f t="shared" ca="1" si="36"/>
        <v>22090.237724750368</v>
      </c>
      <c r="W36" s="109">
        <f t="shared" ca="1" si="36"/>
        <v>22194.301217947745</v>
      </c>
      <c r="X36" s="109">
        <f t="shared" ca="1" si="36"/>
        <v>22296.201499475705</v>
      </c>
      <c r="Y36" s="109">
        <f t="shared" ca="1" si="36"/>
        <v>22395.818422158452</v>
      </c>
      <c r="Z36" s="109">
        <f t="shared" ca="1" si="36"/>
        <v>22493.026783765883</v>
      </c>
      <c r="AA36" s="109">
        <f t="shared" ca="1" si="36"/>
        <v>17234.198739435367</v>
      </c>
      <c r="AB36" s="109">
        <f t="shared" ca="1" si="36"/>
        <v>17396.259306396154</v>
      </c>
      <c r="AC36" s="109">
        <f t="shared" ca="1" si="36"/>
        <v>17559.130176191764</v>
      </c>
      <c r="AD36" s="109">
        <f t="shared" ca="1" si="36"/>
        <v>17722.815400336342</v>
      </c>
      <c r="AE36" s="109">
        <f t="shared" ca="1" si="36"/>
        <v>17887.319050601633</v>
      </c>
    </row>
    <row r="37" spans="1:32" ht="16.05" customHeight="1">
      <c r="A37" s="31" t="s">
        <v>111</v>
      </c>
      <c r="B37" s="106">
        <f ca="1">B36/12</f>
        <v>1641.8709285920202</v>
      </c>
      <c r="C37" s="106">
        <f t="shared" ref="C37:AE37" ca="1" si="37">C36/12</f>
        <v>1652.5672860460265</v>
      </c>
      <c r="D37" s="106">
        <f t="shared" ca="1" si="37"/>
        <v>1663.2165092384018</v>
      </c>
      <c r="E37" s="106">
        <f t="shared" ca="1" si="37"/>
        <v>1673.8142632447616</v>
      </c>
      <c r="F37" s="106">
        <f t="shared" ca="1" si="37"/>
        <v>1684.3560244562066</v>
      </c>
      <c r="G37" s="106">
        <f t="shared" ca="1" si="37"/>
        <v>1694.8370728316568</v>
      </c>
      <c r="H37" s="106">
        <f t="shared" ca="1" si="37"/>
        <v>1705.2524838342335</v>
      </c>
      <c r="I37" s="106">
        <f t="shared" ca="1" si="37"/>
        <v>1715.5971200388185</v>
      </c>
      <c r="J37" s="106">
        <f t="shared" ca="1" si="37"/>
        <v>1725.8656223973794</v>
      </c>
      <c r="K37" s="106">
        <f t="shared" ca="1" si="37"/>
        <v>1736.0524011481305</v>
      </c>
      <c r="L37" s="106">
        <f t="shared" ca="1" si="37"/>
        <v>1746.15162635401</v>
      </c>
      <c r="M37" s="106">
        <f t="shared" ca="1" si="37"/>
        <v>1756.1572180553696</v>
      </c>
      <c r="N37" s="106">
        <f t="shared" ca="1" si="37"/>
        <v>1766.062836021157</v>
      </c>
      <c r="O37" s="106">
        <f t="shared" ca="1" si="37"/>
        <v>1775.8618690822366</v>
      </c>
      <c r="P37" s="106">
        <f t="shared" ca="1" si="37"/>
        <v>1785.5474240298188</v>
      </c>
      <c r="Q37" s="106">
        <f t="shared" ca="1" si="37"/>
        <v>1795.1123140612735</v>
      </c>
      <c r="R37" s="106">
        <f t="shared" ca="1" si="37"/>
        <v>1804.5490467548982</v>
      </c>
      <c r="S37" s="106">
        <f t="shared" ca="1" si="37"/>
        <v>1813.8498115544351</v>
      </c>
      <c r="T37" s="106">
        <f t="shared" ca="1" si="37"/>
        <v>1823.0064667433708</v>
      </c>
      <c r="U37" s="106">
        <f t="shared" ca="1" si="37"/>
        <v>1832.0105258882249</v>
      </c>
      <c r="V37" s="106">
        <f t="shared" ca="1" si="37"/>
        <v>1840.8531437291974</v>
      </c>
      <c r="W37" s="106">
        <f t="shared" ca="1" si="37"/>
        <v>1849.5251014956455</v>
      </c>
      <c r="X37" s="106">
        <f t="shared" ca="1" si="37"/>
        <v>1858.0167916229755</v>
      </c>
      <c r="Y37" s="106">
        <f t="shared" ca="1" si="37"/>
        <v>1866.3182018465377</v>
      </c>
      <c r="Z37" s="106">
        <f t="shared" ca="1" si="37"/>
        <v>1874.418898647157</v>
      </c>
      <c r="AA37" s="106">
        <f t="shared" ca="1" si="37"/>
        <v>1436.1832282862806</v>
      </c>
      <c r="AB37" s="106">
        <f t="shared" ca="1" si="37"/>
        <v>1449.6882755330128</v>
      </c>
      <c r="AC37" s="106">
        <f t="shared" ca="1" si="37"/>
        <v>1463.2608480159804</v>
      </c>
      <c r="AD37" s="106">
        <f t="shared" ca="1" si="37"/>
        <v>1476.9012833613617</v>
      </c>
      <c r="AE37" s="106">
        <f t="shared" ca="1" si="37"/>
        <v>1490.6099208834694</v>
      </c>
    </row>
    <row r="38" spans="1:32" ht="16.05" customHeight="1">
      <c r="A38" s="44" t="s">
        <v>54</v>
      </c>
      <c r="B38" s="77">
        <f t="shared" ref="B38:AE38" si="38">(B8-B13-B14-B15-B16-B32)/$B$3</f>
        <v>0.16164719979593895</v>
      </c>
      <c r="C38" s="77">
        <f t="shared" si="38"/>
        <v>0.16245543579491861</v>
      </c>
      <c r="D38" s="77">
        <f t="shared" si="38"/>
        <v>0.16326771297389317</v>
      </c>
      <c r="E38" s="77">
        <f t="shared" si="38"/>
        <v>0.1640840515387626</v>
      </c>
      <c r="F38" s="77">
        <f t="shared" si="38"/>
        <v>0.1649044717964564</v>
      </c>
      <c r="G38" s="77">
        <f t="shared" si="38"/>
        <v>0.16572899415543865</v>
      </c>
      <c r="H38" s="77">
        <f t="shared" si="38"/>
        <v>0.16655763912621585</v>
      </c>
      <c r="I38" s="77">
        <f t="shared" si="38"/>
        <v>0.16739042732184689</v>
      </c>
      <c r="J38" s="77">
        <f t="shared" si="38"/>
        <v>0.16822737945845612</v>
      </c>
      <c r="K38" s="77">
        <f t="shared" si="38"/>
        <v>0.1690685163557484</v>
      </c>
      <c r="L38" s="77">
        <f t="shared" si="38"/>
        <v>0.16991385893752706</v>
      </c>
      <c r="M38" s="77">
        <f t="shared" si="38"/>
        <v>0.17076342823221469</v>
      </c>
      <c r="N38" s="77">
        <f t="shared" si="38"/>
        <v>0.17161724537337578</v>
      </c>
      <c r="O38" s="77">
        <f t="shared" si="38"/>
        <v>0.17247533160024264</v>
      </c>
      <c r="P38" s="77">
        <f t="shared" si="38"/>
        <v>0.17333770825824385</v>
      </c>
      <c r="Q38" s="77">
        <f t="shared" si="38"/>
        <v>0.17420439679953509</v>
      </c>
      <c r="R38" s="77">
        <f t="shared" si="38"/>
        <v>0.17507541878353272</v>
      </c>
      <c r="S38" s="77">
        <f t="shared" si="38"/>
        <v>0.17595079587745033</v>
      </c>
      <c r="T38" s="77">
        <f t="shared" si="38"/>
        <v>0.17683054985683758</v>
      </c>
      <c r="U38" s="77">
        <f t="shared" si="38"/>
        <v>0.17771470260612174</v>
      </c>
      <c r="V38" s="77">
        <f t="shared" si="38"/>
        <v>0.17860327611915236</v>
      </c>
      <c r="W38" s="77">
        <f t="shared" si="38"/>
        <v>0.17949629249974811</v>
      </c>
      <c r="X38" s="77">
        <f t="shared" si="38"/>
        <v>0.18039377396224679</v>
      </c>
      <c r="Y38" s="77">
        <f t="shared" si="38"/>
        <v>0.18129574283205802</v>
      </c>
      <c r="Z38" s="77">
        <f t="shared" si="38"/>
        <v>0.18220222154621829</v>
      </c>
      <c r="AA38" s="77">
        <f t="shared" si="38"/>
        <v>0.18311323265394938</v>
      </c>
      <c r="AB38" s="77">
        <f t="shared" si="38"/>
        <v>0.18402879881721912</v>
      </c>
      <c r="AC38" s="77">
        <f t="shared" si="38"/>
        <v>0.18494894281130517</v>
      </c>
      <c r="AD38" s="77">
        <f t="shared" si="38"/>
        <v>0.18587368752536171</v>
      </c>
      <c r="AE38" s="77">
        <f t="shared" si="38"/>
        <v>0.18680305596298849</v>
      </c>
    </row>
    <row r="39" spans="1:32" ht="1.05" customHeight="1">
      <c r="A39" s="31"/>
      <c r="B39" s="59"/>
      <c r="C39" s="60"/>
      <c r="D39" s="60"/>
      <c r="F39" s="138">
        <f>AVERAGE(B38:F38)</f>
        <v>0.16327177437999393</v>
      </c>
      <c r="K39" s="110">
        <f>AVERAGE(B38:K38)</f>
        <v>0.16533318283176757</v>
      </c>
      <c r="P39" s="110">
        <f>AVERAGE(B38:P38)</f>
        <v>0.16742929338128532</v>
      </c>
      <c r="U39" s="110">
        <f>AVERAGE(B38:U38)</f>
        <v>0.16956076323213787</v>
      </c>
      <c r="Z39" s="111">
        <f>AVERAGE(B38:Z38)</f>
        <v>0.17172826286408721</v>
      </c>
      <c r="AE39" s="112">
        <f>AVERAGE(B38:AE38)</f>
        <v>0.17393247631243344</v>
      </c>
    </row>
    <row r="40" spans="1:32" ht="16.05" customHeight="1">
      <c r="A40" s="31"/>
      <c r="B40" s="59"/>
      <c r="C40" s="60"/>
      <c r="D40" s="60"/>
    </row>
    <row r="41" spans="1:32" ht="16.05" customHeight="1">
      <c r="A41" s="30" t="s">
        <v>64</v>
      </c>
      <c r="B41" s="69"/>
      <c r="C41" s="70"/>
      <c r="D41" s="70"/>
      <c r="E41" s="71"/>
      <c r="F41" s="71"/>
      <c r="G41" s="72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2" ht="16.05" customHeight="1">
      <c r="A42" s="80" t="s">
        <v>81</v>
      </c>
      <c r="B42" s="74">
        <f t="shared" ref="B42:AE42" si="39">B8*0.5</f>
        <v>21000</v>
      </c>
      <c r="C42" s="74">
        <f t="shared" si="39"/>
        <v>21104.999999999996</v>
      </c>
      <c r="D42" s="74">
        <f t="shared" si="39"/>
        <v>21210.524999999994</v>
      </c>
      <c r="E42" s="74">
        <f t="shared" si="39"/>
        <v>21316.577624999991</v>
      </c>
      <c r="F42" s="74">
        <f t="shared" si="39"/>
        <v>21423.160513124989</v>
      </c>
      <c r="G42" s="74">
        <f t="shared" si="39"/>
        <v>21530.276315690611</v>
      </c>
      <c r="H42" s="74">
        <f t="shared" si="39"/>
        <v>21637.92769726906</v>
      </c>
      <c r="I42" s="74">
        <f t="shared" si="39"/>
        <v>21746.117335755403</v>
      </c>
      <c r="J42" s="74">
        <f t="shared" si="39"/>
        <v>21854.847922434179</v>
      </c>
      <c r="K42" s="74">
        <f t="shared" si="39"/>
        <v>21964.122162046348</v>
      </c>
      <c r="L42" s="74">
        <f t="shared" si="39"/>
        <v>22073.942772856575</v>
      </c>
      <c r="M42" s="74">
        <f t="shared" si="39"/>
        <v>22184.312486720857</v>
      </c>
      <c r="N42" s="74">
        <f t="shared" si="39"/>
        <v>22295.23404915446</v>
      </c>
      <c r="O42" s="74">
        <f t="shared" si="39"/>
        <v>22406.710219400229</v>
      </c>
      <c r="P42" s="74">
        <f t="shared" si="39"/>
        <v>22518.743770497229</v>
      </c>
      <c r="Q42" s="74">
        <f t="shared" si="39"/>
        <v>22631.337489349713</v>
      </c>
      <c r="R42" s="74">
        <f t="shared" si="39"/>
        <v>22744.494176796459</v>
      </c>
      <c r="S42" s="74">
        <f t="shared" si="39"/>
        <v>22858.216647680438</v>
      </c>
      <c r="T42" s="74">
        <f t="shared" si="39"/>
        <v>22972.507730918838</v>
      </c>
      <c r="U42" s="74">
        <f t="shared" si="39"/>
        <v>23087.370269573428</v>
      </c>
      <c r="V42" s="74">
        <f t="shared" si="39"/>
        <v>23202.807120921294</v>
      </c>
      <c r="W42" s="74">
        <f t="shared" si="39"/>
        <v>23318.821156525897</v>
      </c>
      <c r="X42" s="74">
        <f t="shared" si="39"/>
        <v>23435.415262308525</v>
      </c>
      <c r="Y42" s="74">
        <f t="shared" si="39"/>
        <v>23552.592338620067</v>
      </c>
      <c r="Z42" s="74">
        <f t="shared" si="39"/>
        <v>23670.355300313164</v>
      </c>
      <c r="AA42" s="74">
        <f t="shared" si="39"/>
        <v>23788.707076814728</v>
      </c>
      <c r="AB42" s="74">
        <f t="shared" si="39"/>
        <v>23907.650612198799</v>
      </c>
      <c r="AC42" s="74">
        <f t="shared" si="39"/>
        <v>24027.188865259792</v>
      </c>
      <c r="AD42" s="74">
        <f t="shared" si="39"/>
        <v>24147.324809586087</v>
      </c>
      <c r="AE42" s="74">
        <f t="shared" si="39"/>
        <v>24268.061433634015</v>
      </c>
    </row>
    <row r="43" spans="1:32" s="20" customFormat="1" ht="15" customHeight="1">
      <c r="A43" s="34" t="s">
        <v>80</v>
      </c>
      <c r="B43" s="78">
        <f>(B42*Projet!$C$4)+('Détails - Location meublée'!B42*0.172)</f>
        <v>5922</v>
      </c>
      <c r="C43" s="78">
        <f>(C42*Projet!$C$4)+('Détails - Location meublée'!C42*0.172)</f>
        <v>5951.6099999999988</v>
      </c>
      <c r="D43" s="78">
        <f>(D42*Projet!$C$4)+('Détails - Location meublée'!D42*0.172)</f>
        <v>5981.3680499999982</v>
      </c>
      <c r="E43" s="78">
        <f>(E42*Projet!$C$4)+('Détails - Location meublée'!E42*0.172)</f>
        <v>6011.274890249997</v>
      </c>
      <c r="F43" s="78">
        <f>(F42*Projet!$C$4)+('Détails - Location meublée'!F42*0.172)</f>
        <v>6041.3312647012463</v>
      </c>
      <c r="G43" s="78">
        <f>(G42*Projet!$C$4)+('Détails - Location meublée'!G42*0.172)</f>
        <v>6071.537921024752</v>
      </c>
      <c r="H43" s="78">
        <f>(H42*Projet!$C$4)+('Détails - Location meublée'!H42*0.172)</f>
        <v>6101.8956106298747</v>
      </c>
      <c r="I43" s="78">
        <f>(I42*Projet!$C$4)+('Détails - Location meublée'!I42*0.172)</f>
        <v>6132.4050886830237</v>
      </c>
      <c r="J43" s="78">
        <f>(J42*Projet!$C$4)+('Détails - Location meublée'!J42*0.172)</f>
        <v>6163.0671141264384</v>
      </c>
      <c r="K43" s="78">
        <f>(K42*Projet!$C$4)+('Détails - Location meublée'!K42*0.172)</f>
        <v>6193.8824496970701</v>
      </c>
      <c r="L43" s="78">
        <f>(L42*Projet!$C$4)+('Détails - Location meublée'!L42*0.172)</f>
        <v>6224.8518619455535</v>
      </c>
      <c r="M43" s="78">
        <f>(M42*Projet!$C$4)+('Détails - Location meublée'!M42*0.172)</f>
        <v>6255.9761212552812</v>
      </c>
      <c r="N43" s="78">
        <f>(N42*Projet!$C$4)+('Détails - Location meublée'!N42*0.172)</f>
        <v>6287.2560018615568</v>
      </c>
      <c r="O43" s="78">
        <f>(O42*Projet!$C$4)+('Détails - Location meublée'!O42*0.172)</f>
        <v>6318.6922818708645</v>
      </c>
      <c r="P43" s="78">
        <f>(P42*Projet!$C$4)+('Détails - Location meublée'!P42*0.172)</f>
        <v>6350.2857432802184</v>
      </c>
      <c r="Q43" s="78">
        <f>(Q42*Projet!$C$4)+('Détails - Location meublée'!Q42*0.172)</f>
        <v>6382.0371719966188</v>
      </c>
      <c r="R43" s="78">
        <f>(R42*Projet!$C$4)+('Détails - Location meublée'!R42*0.172)</f>
        <v>6413.9473578566012</v>
      </c>
      <c r="S43" s="78">
        <f>(S42*Projet!$C$4)+('Détails - Location meublée'!S42*0.172)</f>
        <v>6446.0170946458838</v>
      </c>
      <c r="T43" s="78">
        <f>(T42*Projet!$C$4)+('Détails - Location meublée'!T42*0.172)</f>
        <v>6478.2471801191123</v>
      </c>
      <c r="U43" s="78">
        <f>(U42*Projet!$C$4)+('Détails - Location meublée'!U42*0.172)</f>
        <v>6510.6384160197067</v>
      </c>
      <c r="V43" s="78">
        <f>(V42*Projet!$C$4)+('Détails - Location meublée'!V42*0.172)</f>
        <v>6543.1916080998044</v>
      </c>
      <c r="W43" s="78">
        <f>(W42*Projet!$C$4)+('Détails - Location meublée'!W42*0.172)</f>
        <v>6575.9075661403031</v>
      </c>
      <c r="X43" s="78">
        <f>(X42*Projet!$C$4)+('Détails - Location meublée'!X42*0.172)</f>
        <v>6608.7871039710035</v>
      </c>
      <c r="Y43" s="78">
        <f>(Y42*Projet!$C$4)+('Détails - Location meublée'!Y42*0.172)</f>
        <v>6641.8310394908585</v>
      </c>
      <c r="Z43" s="78">
        <f>(Z42*Projet!$C$4)+('Détails - Location meublée'!Z42*0.172)</f>
        <v>6675.0401946883121</v>
      </c>
      <c r="AA43" s="78">
        <f>(AA42*Projet!$C$4)+('Détails - Location meublée'!AA42*0.172)</f>
        <v>6708.4153956617529</v>
      </c>
      <c r="AB43" s="78">
        <f>(AB42*Projet!$C$4)+('Détails - Location meublée'!AB42*0.172)</f>
        <v>6741.9574726400606</v>
      </c>
      <c r="AC43" s="78">
        <f>(AC42*Projet!$C$4)+('Détails - Location meublée'!AC42*0.172)</f>
        <v>6775.6672600032616</v>
      </c>
      <c r="AD43" s="78">
        <f>(AD42*Projet!$C$4)+('Détails - Location meublée'!AD42*0.172)</f>
        <v>6809.5455963032764</v>
      </c>
      <c r="AE43" s="78">
        <f>(AE42*Projet!$C$4)+('Détails - Location meublée'!AE42*0.172)</f>
        <v>6843.5933242847914</v>
      </c>
    </row>
    <row r="44" spans="1:32" s="20" customFormat="1" ht="1.05" customHeight="1">
      <c r="A44" s="38"/>
      <c r="B44" s="56"/>
      <c r="C44" s="56"/>
      <c r="D44" s="56"/>
      <c r="E44" s="56"/>
      <c r="F44" s="56">
        <f>SUM(B43:F43)</f>
        <v>29907.584204951239</v>
      </c>
      <c r="G44" s="56"/>
      <c r="H44" s="56"/>
      <c r="I44" s="56"/>
      <c r="J44" s="56"/>
      <c r="K44" s="56">
        <f>SUM(B43:K43)</f>
        <v>60570.372389112395</v>
      </c>
      <c r="L44" s="56"/>
      <c r="M44" s="56"/>
      <c r="N44" s="56"/>
      <c r="O44" s="56"/>
      <c r="P44" s="56">
        <f>SUM(B43:P43)</f>
        <v>92007.434399325881</v>
      </c>
      <c r="Q44" s="56"/>
      <c r="R44" s="56"/>
      <c r="S44" s="56"/>
      <c r="T44" s="56"/>
      <c r="U44" s="56">
        <f>SUM(B43:U43)</f>
        <v>124238.3216199638</v>
      </c>
      <c r="V44" s="56"/>
      <c r="W44" s="56"/>
      <c r="X44" s="56"/>
      <c r="Y44" s="56"/>
      <c r="Z44" s="56">
        <f>SUM(B43:Z43)</f>
        <v>157283.07913235406</v>
      </c>
      <c r="AA44" s="56"/>
      <c r="AB44" s="56"/>
      <c r="AC44" s="56"/>
      <c r="AD44" s="56"/>
      <c r="AE44" s="56">
        <f>SUM(B43:AE43)</f>
        <v>191162.25818124722</v>
      </c>
    </row>
    <row r="45" spans="1:32" s="20" customFormat="1" ht="16.05" customHeight="1">
      <c r="A45" s="32" t="s">
        <v>77</v>
      </c>
      <c r="B45" s="51">
        <f t="shared" ref="B45:AE45" ca="1" si="40">B18-B43</f>
        <v>17650.085347275297</v>
      </c>
      <c r="C45" s="51">
        <f t="shared" ca="1" si="40"/>
        <v>17814.975347275293</v>
      </c>
      <c r="D45" s="51">
        <f t="shared" ca="1" si="40"/>
        <v>17980.689797275289</v>
      </c>
      <c r="E45" s="51">
        <f t="shared" ca="1" si="40"/>
        <v>18147.232819525285</v>
      </c>
      <c r="F45" s="51">
        <f t="shared" ca="1" si="40"/>
        <v>18314.608556886527</v>
      </c>
      <c r="G45" s="51">
        <f t="shared" ca="1" si="40"/>
        <v>18482.821172934582</v>
      </c>
      <c r="H45" s="51">
        <f t="shared" ca="1" si="40"/>
        <v>18651.874852062869</v>
      </c>
      <c r="I45" s="51">
        <f t="shared" ca="1" si="40"/>
        <v>18821.773799586808</v>
      </c>
      <c r="J45" s="51">
        <f t="shared" ca="1" si="40"/>
        <v>18992.522241848361</v>
      </c>
      <c r="K45" s="51">
        <f t="shared" ca="1" si="40"/>
        <v>19164.124426321225</v>
      </c>
      <c r="L45" s="51">
        <f t="shared" ca="1" si="40"/>
        <v>19336.584621716447</v>
      </c>
      <c r="M45" s="51">
        <f t="shared" ca="1" si="40"/>
        <v>19509.907118088653</v>
      </c>
      <c r="N45" s="51">
        <f t="shared" ca="1" si="40"/>
        <v>19684.096226942718</v>
      </c>
      <c r="O45" s="51">
        <f t="shared" ca="1" si="40"/>
        <v>19859.156281341049</v>
      </c>
      <c r="P45" s="51">
        <f t="shared" ca="1" si="40"/>
        <v>20035.091636011373</v>
      </c>
      <c r="Q45" s="51">
        <f t="shared" ca="1" si="40"/>
        <v>20211.906667455049</v>
      </c>
      <c r="R45" s="51">
        <f t="shared" ca="1" si="40"/>
        <v>20389.605774055948</v>
      </c>
      <c r="S45" s="51">
        <f t="shared" ca="1" si="40"/>
        <v>20568.193376189847</v>
      </c>
      <c r="T45" s="51">
        <f t="shared" ca="1" si="40"/>
        <v>20747.673916334414</v>
      </c>
      <c r="U45" s="51">
        <f t="shared" ca="1" si="40"/>
        <v>20928.051859179701</v>
      </c>
      <c r="V45" s="51">
        <f t="shared" ca="1" si="40"/>
        <v>21109.331691739222</v>
      </c>
      <c r="W45" s="51">
        <f t="shared" ca="1" si="40"/>
        <v>21291.517923461535</v>
      </c>
      <c r="X45" s="51">
        <f t="shared" ca="1" si="40"/>
        <v>21474.615086342463</v>
      </c>
      <c r="Y45" s="51">
        <f t="shared" ca="1" si="40"/>
        <v>21658.6277350378</v>
      </c>
      <c r="Z45" s="51">
        <f t="shared" ca="1" si="40"/>
        <v>21843.560446976604</v>
      </c>
      <c r="AA45" s="51">
        <f t="shared" ca="1" si="40"/>
        <v>22029.417822475116</v>
      </c>
      <c r="AB45" s="51">
        <f t="shared" ca="1" si="40"/>
        <v>22216.2044848511</v>
      </c>
      <c r="AC45" s="51">
        <f t="shared" ca="1" si="40"/>
        <v>22403.925080538982</v>
      </c>
      <c r="AD45" s="51">
        <f t="shared" ca="1" si="40"/>
        <v>22592.584279205297</v>
      </c>
      <c r="AE45" s="51">
        <f t="shared" ca="1" si="40"/>
        <v>22782.186773864938</v>
      </c>
    </row>
    <row r="46" spans="1:32" s="20" customFormat="1" ht="16.05" customHeight="1">
      <c r="A46" s="31" t="s">
        <v>82</v>
      </c>
      <c r="B46" s="52">
        <f ca="1">B45/12</f>
        <v>1470.8404456062747</v>
      </c>
      <c r="C46" s="52">
        <f t="shared" ref="C46:AE46" ca="1" si="41">C45/12</f>
        <v>1484.5812789396077</v>
      </c>
      <c r="D46" s="52">
        <f t="shared" ca="1" si="41"/>
        <v>1498.3908164396073</v>
      </c>
      <c r="E46" s="52">
        <f t="shared" ca="1" si="41"/>
        <v>1512.2694016271071</v>
      </c>
      <c r="F46" s="52">
        <f t="shared" ca="1" si="41"/>
        <v>1526.2173797405439</v>
      </c>
      <c r="G46" s="52">
        <f t="shared" ca="1" si="41"/>
        <v>1540.2350977445485</v>
      </c>
      <c r="H46" s="52">
        <f t="shared" ca="1" si="41"/>
        <v>1554.3229043385725</v>
      </c>
      <c r="I46" s="52">
        <f t="shared" ca="1" si="41"/>
        <v>1568.4811499655673</v>
      </c>
      <c r="J46" s="52">
        <f t="shared" ca="1" si="41"/>
        <v>1582.7101868206967</v>
      </c>
      <c r="K46" s="52">
        <f t="shared" ca="1" si="41"/>
        <v>1597.0103688601021</v>
      </c>
      <c r="L46" s="52">
        <f t="shared" ca="1" si="41"/>
        <v>1611.3820518097039</v>
      </c>
      <c r="M46" s="52">
        <f t="shared" ca="1" si="41"/>
        <v>1625.8255931740543</v>
      </c>
      <c r="N46" s="52">
        <f t="shared" ca="1" si="41"/>
        <v>1640.3413522452265</v>
      </c>
      <c r="O46" s="52">
        <f t="shared" ca="1" si="41"/>
        <v>1654.9296901117541</v>
      </c>
      <c r="P46" s="52">
        <f t="shared" ca="1" si="41"/>
        <v>1669.5909696676144</v>
      </c>
      <c r="Q46" s="52">
        <f t="shared" ca="1" si="41"/>
        <v>1684.3255556212541</v>
      </c>
      <c r="R46" s="52">
        <f t="shared" ca="1" si="41"/>
        <v>1699.1338145046623</v>
      </c>
      <c r="S46" s="52">
        <f t="shared" ca="1" si="41"/>
        <v>1714.0161146824873</v>
      </c>
      <c r="T46" s="52">
        <f t="shared" ca="1" si="41"/>
        <v>1728.9728263612012</v>
      </c>
      <c r="U46" s="52">
        <f t="shared" ca="1" si="41"/>
        <v>1744.0043215983085</v>
      </c>
      <c r="V46" s="52">
        <f t="shared" ca="1" si="41"/>
        <v>1759.1109743116019</v>
      </c>
      <c r="W46" s="52">
        <f t="shared" ca="1" si="41"/>
        <v>1774.2931602884612</v>
      </c>
      <c r="X46" s="52">
        <f t="shared" ca="1" si="41"/>
        <v>1789.5512571952052</v>
      </c>
      <c r="Y46" s="52">
        <f t="shared" ca="1" si="41"/>
        <v>1804.8856445864833</v>
      </c>
      <c r="Z46" s="52">
        <f t="shared" ca="1" si="41"/>
        <v>1820.296703914717</v>
      </c>
      <c r="AA46" s="52">
        <f t="shared" ca="1" si="41"/>
        <v>1835.7848185395931</v>
      </c>
      <c r="AB46" s="52">
        <f t="shared" ca="1" si="41"/>
        <v>1851.3503737375916</v>
      </c>
      <c r="AC46" s="52">
        <f t="shared" ca="1" si="41"/>
        <v>1866.9937567115819</v>
      </c>
      <c r="AD46" s="52">
        <f t="shared" ca="1" si="41"/>
        <v>1882.7153566004415</v>
      </c>
      <c r="AE46" s="52">
        <f t="shared" ca="1" si="41"/>
        <v>1898.5155644887448</v>
      </c>
    </row>
    <row r="47" spans="1:32" s="25" customFormat="1" ht="17" customHeight="1">
      <c r="A47" s="44" t="s">
        <v>54</v>
      </c>
      <c r="B47" s="77">
        <f t="shared" ref="B47:AE47" si="42">(B8-B13-B14-B15-B16-B43)/$B$3</f>
        <v>0.13973266985243707</v>
      </c>
      <c r="C47" s="77">
        <f t="shared" si="42"/>
        <v>0.14043133320169923</v>
      </c>
      <c r="D47" s="77">
        <f t="shared" si="42"/>
        <v>0.14113348986770771</v>
      </c>
      <c r="E47" s="77">
        <f t="shared" si="42"/>
        <v>0.14183915731704622</v>
      </c>
      <c r="F47" s="77">
        <f t="shared" si="42"/>
        <v>0.14254835310363143</v>
      </c>
      <c r="G47" s="77">
        <f t="shared" si="42"/>
        <v>0.14326109486914959</v>
      </c>
      <c r="H47" s="77">
        <f t="shared" si="42"/>
        <v>0.14397740034349532</v>
      </c>
      <c r="I47" s="77">
        <f t="shared" si="42"/>
        <v>0.14469728734521276</v>
      </c>
      <c r="J47" s="77">
        <f t="shared" si="42"/>
        <v>0.14542077378193879</v>
      </c>
      <c r="K47" s="77">
        <f t="shared" si="42"/>
        <v>0.14614787765084852</v>
      </c>
      <c r="L47" s="77">
        <f t="shared" si="42"/>
        <v>0.14687861703910268</v>
      </c>
      <c r="M47" s="77">
        <f t="shared" si="42"/>
        <v>0.1476130101242982</v>
      </c>
      <c r="N47" s="77">
        <f t="shared" si="42"/>
        <v>0.14835107517491972</v>
      </c>
      <c r="O47" s="77">
        <f t="shared" si="42"/>
        <v>0.14909283055079428</v>
      </c>
      <c r="P47" s="77">
        <f t="shared" si="42"/>
        <v>0.14983829470354826</v>
      </c>
      <c r="Q47" s="77">
        <f t="shared" si="42"/>
        <v>0.15058748617706599</v>
      </c>
      <c r="R47" s="77">
        <f t="shared" si="42"/>
        <v>0.15134042360795127</v>
      </c>
      <c r="S47" s="77">
        <f t="shared" si="42"/>
        <v>0.15209712572599102</v>
      </c>
      <c r="T47" s="77">
        <f t="shared" si="42"/>
        <v>0.15285761135462098</v>
      </c>
      <c r="U47" s="77">
        <f t="shared" si="42"/>
        <v>0.15362189941139406</v>
      </c>
      <c r="V47" s="77">
        <f t="shared" si="42"/>
        <v>0.154390008908451</v>
      </c>
      <c r="W47" s="77">
        <f t="shared" si="42"/>
        <v>0.15516195895299326</v>
      </c>
      <c r="X47" s="77">
        <f t="shared" si="42"/>
        <v>0.15593776874775819</v>
      </c>
      <c r="Y47" s="77">
        <f t="shared" si="42"/>
        <v>0.15671745759149697</v>
      </c>
      <c r="Z47" s="77">
        <f t="shared" si="42"/>
        <v>0.15750104487945443</v>
      </c>
      <c r="AA47" s="77">
        <f t="shared" si="42"/>
        <v>0.15828855010385171</v>
      </c>
      <c r="AB47" s="77">
        <f t="shared" si="42"/>
        <v>0.15907999285437097</v>
      </c>
      <c r="AC47" s="77">
        <f t="shared" si="42"/>
        <v>0.15987539281864277</v>
      </c>
      <c r="AD47" s="77">
        <f t="shared" si="42"/>
        <v>0.16067476978273601</v>
      </c>
      <c r="AE47" s="77">
        <f t="shared" si="42"/>
        <v>0.16147814363164967</v>
      </c>
    </row>
    <row r="48" spans="1:32" s="20" customFormat="1" ht="13.05" hidden="1" customHeight="1">
      <c r="A48" s="31" t="s">
        <v>83</v>
      </c>
      <c r="B48" s="52"/>
      <c r="C48" s="52"/>
      <c r="D48" s="52"/>
      <c r="E48" s="52"/>
      <c r="F48" s="137">
        <f>AVERAGE(B47:F47)</f>
        <v>0.14113700066850435</v>
      </c>
      <c r="G48" s="52"/>
      <c r="H48" s="52"/>
      <c r="I48" s="52"/>
      <c r="J48" s="52"/>
      <c r="K48" s="79">
        <f>AVERAGE(B47:K47)</f>
        <v>0.14291894373331668</v>
      </c>
      <c r="L48" s="52"/>
      <c r="M48" s="52"/>
      <c r="N48" s="52"/>
      <c r="O48" s="52"/>
      <c r="P48" s="79">
        <f>AVERAGE(B47:P47)</f>
        <v>0.14473088432838868</v>
      </c>
      <c r="Q48" s="52"/>
      <c r="R48" s="52"/>
      <c r="S48" s="52"/>
      <c r="T48" s="52"/>
      <c r="U48" s="79">
        <f>AVERAGE(B47:U47)</f>
        <v>0.14657339056014268</v>
      </c>
      <c r="V48" s="52"/>
      <c r="W48" s="52"/>
      <c r="X48" s="52"/>
      <c r="Y48" s="52"/>
      <c r="Z48" s="79">
        <f>AVERAGE(B47:Z47)</f>
        <v>0.14844704201132028</v>
      </c>
      <c r="AA48" s="52"/>
      <c r="AB48" s="52"/>
      <c r="AC48" s="52"/>
      <c r="AD48" s="52"/>
      <c r="AE48" s="79">
        <f>AVERAGE(B47:AE47)</f>
        <v>0.15035242998247528</v>
      </c>
    </row>
    <row r="49" spans="1:31" s="39" customFormat="1" ht="17" customHeight="1">
      <c r="A49" s="40" t="s">
        <v>40</v>
      </c>
      <c r="B49" s="63" t="s">
        <v>55</v>
      </c>
      <c r="C49" s="64" t="s">
        <v>41</v>
      </c>
      <c r="D49" s="64" t="s">
        <v>42</v>
      </c>
      <c r="E49" s="64" t="s">
        <v>43</v>
      </c>
      <c r="F49" s="64" t="s">
        <v>44</v>
      </c>
      <c r="G49" s="64" t="s">
        <v>45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ht="17" customHeight="1">
      <c r="A50" s="83"/>
      <c r="B50" s="65"/>
      <c r="C50" s="65"/>
      <c r="D50" s="65"/>
      <c r="E50" s="65"/>
      <c r="F50" s="65"/>
      <c r="G50" s="66"/>
    </row>
    <row r="51" spans="1:31" ht="17" customHeight="1">
      <c r="A51" s="83"/>
      <c r="B51" s="65"/>
      <c r="C51" s="65"/>
      <c r="D51" s="65"/>
      <c r="E51" s="65"/>
      <c r="F51" s="65"/>
      <c r="G51" s="66"/>
    </row>
    <row r="52" spans="1:31" ht="17" customHeight="1">
      <c r="A52" s="84"/>
      <c r="B52" s="65"/>
      <c r="C52" s="65"/>
      <c r="D52" s="67"/>
      <c r="E52" s="65"/>
      <c r="F52" s="65"/>
      <c r="G52" s="66"/>
    </row>
    <row r="53" spans="1:31" ht="17" customHeight="1">
      <c r="A53" s="84"/>
      <c r="B53" s="65"/>
      <c r="C53" s="65"/>
      <c r="D53" s="65"/>
      <c r="E53" s="65"/>
      <c r="F53" s="65"/>
      <c r="G53" s="66"/>
    </row>
    <row r="54" spans="1:31" ht="17" customHeight="1">
      <c r="A54" s="84"/>
      <c r="B54" s="65"/>
      <c r="C54" s="65"/>
      <c r="D54" s="65"/>
      <c r="E54" s="65"/>
      <c r="F54" s="65"/>
      <c r="G54" s="66"/>
    </row>
    <row r="55" spans="1:31" ht="17" customHeight="1">
      <c r="A55" s="84"/>
      <c r="B55" s="65"/>
      <c r="C55" s="65"/>
      <c r="D55" s="65"/>
      <c r="E55" s="65"/>
      <c r="F55" s="65"/>
      <c r="G55" s="66"/>
    </row>
    <row r="56" spans="1:31" ht="17" customHeight="1">
      <c r="A56" s="84"/>
      <c r="B56" s="65"/>
      <c r="C56" s="65"/>
      <c r="D56" s="65"/>
      <c r="E56" s="65"/>
      <c r="F56" s="65"/>
      <c r="G56" s="66"/>
    </row>
    <row r="57" spans="1:31" ht="17" customHeight="1">
      <c r="A57" s="84"/>
      <c r="B57" s="65"/>
      <c r="C57" s="65"/>
      <c r="D57" s="65"/>
      <c r="E57" s="65"/>
      <c r="F57" s="65"/>
      <c r="G57" s="66"/>
    </row>
    <row r="58" spans="1:31" ht="17" customHeight="1">
      <c r="A58" s="84"/>
      <c r="B58" s="65"/>
      <c r="C58" s="65"/>
      <c r="D58" s="65"/>
      <c r="E58" s="65"/>
      <c r="F58" s="65"/>
      <c r="G58" s="66"/>
    </row>
    <row r="59" spans="1:31" ht="17" customHeight="1">
      <c r="A59" s="84"/>
      <c r="B59" s="65"/>
      <c r="C59" s="65"/>
      <c r="D59" s="65"/>
      <c r="E59" s="65"/>
      <c r="F59" s="65"/>
      <c r="G59" s="66"/>
    </row>
    <row r="60" spans="1:31" ht="17" customHeight="1">
      <c r="A60" s="84"/>
      <c r="B60" s="65"/>
      <c r="C60" s="65"/>
      <c r="D60" s="65"/>
      <c r="E60" s="65"/>
      <c r="F60" s="65"/>
      <c r="G60" s="66"/>
    </row>
    <row r="61" spans="1:31" ht="17" customHeight="1">
      <c r="A61" s="84"/>
      <c r="B61" s="65"/>
      <c r="C61" s="65"/>
      <c r="D61" s="65"/>
      <c r="E61" s="65"/>
      <c r="F61" s="65"/>
      <c r="G61" s="66"/>
    </row>
    <row r="62" spans="1:31" ht="17" customHeight="1">
      <c r="A62" s="84"/>
      <c r="B62" s="65"/>
      <c r="C62" s="65"/>
      <c r="D62" s="65"/>
      <c r="E62" s="65"/>
      <c r="F62" s="65"/>
      <c r="G62" s="66"/>
    </row>
    <row r="63" spans="1:31" ht="17" customHeight="1">
      <c r="A63" s="84"/>
      <c r="B63" s="65"/>
      <c r="C63" s="65"/>
      <c r="D63" s="65"/>
      <c r="E63" s="65"/>
      <c r="F63" s="65"/>
      <c r="G63" s="66"/>
    </row>
    <row r="64" spans="1:31" ht="17" customHeight="1">
      <c r="A64" s="84"/>
      <c r="B64" s="65"/>
      <c r="C64" s="65"/>
      <c r="D64" s="65"/>
      <c r="E64" s="65"/>
      <c r="F64" s="65"/>
      <c r="G64" s="66"/>
    </row>
    <row r="65" spans="1:7" ht="17" customHeight="1">
      <c r="A65" s="84"/>
      <c r="B65" s="65"/>
      <c r="C65" s="65"/>
      <c r="D65" s="65"/>
      <c r="E65" s="65"/>
      <c r="F65" s="65"/>
      <c r="G65" s="66"/>
    </row>
    <row r="66" spans="1:7" ht="17" customHeight="1">
      <c r="A66" s="84"/>
      <c r="B66" s="65"/>
      <c r="C66" s="65"/>
      <c r="D66" s="65"/>
      <c r="E66" s="65"/>
      <c r="F66" s="65"/>
      <c r="G66" s="66"/>
    </row>
    <row r="67" spans="1:7" ht="17" customHeight="1">
      <c r="A67" s="84"/>
      <c r="B67" s="65"/>
      <c r="C67" s="65"/>
      <c r="D67" s="65"/>
      <c r="E67" s="65"/>
      <c r="F67" s="65"/>
      <c r="G67" s="66"/>
    </row>
    <row r="68" spans="1:7" ht="17" customHeight="1">
      <c r="A68" s="84"/>
      <c r="B68" s="65"/>
      <c r="C68" s="65"/>
      <c r="D68" s="65"/>
      <c r="E68" s="65"/>
      <c r="F68" s="65"/>
      <c r="G68" s="66"/>
    </row>
    <row r="69" spans="1:7" ht="17" customHeight="1">
      <c r="A69" s="84"/>
      <c r="B69" s="65"/>
      <c r="C69" s="65"/>
      <c r="D69" s="65"/>
      <c r="E69" s="65"/>
      <c r="F69" s="65"/>
      <c r="G69" s="66"/>
    </row>
    <row r="70" spans="1:7" ht="17" customHeight="1">
      <c r="A70" s="84"/>
      <c r="B70" s="65"/>
      <c r="C70" s="65"/>
      <c r="D70" s="65"/>
      <c r="E70" s="65"/>
      <c r="F70" s="65"/>
      <c r="G70" s="66"/>
    </row>
    <row r="71" spans="1:7" ht="17" customHeight="1">
      <c r="A71" s="84"/>
      <c r="B71" s="65"/>
      <c r="C71" s="65"/>
      <c r="D71" s="65"/>
      <c r="E71" s="65"/>
      <c r="F71" s="65"/>
      <c r="G71" s="66"/>
    </row>
    <row r="72" spans="1:7" ht="17" customHeight="1">
      <c r="A72" s="84"/>
      <c r="B72" s="65"/>
      <c r="C72" s="65"/>
      <c r="D72" s="65"/>
      <c r="E72" s="65"/>
      <c r="F72" s="65"/>
      <c r="G72" s="66"/>
    </row>
    <row r="73" spans="1:7" ht="17" customHeight="1">
      <c r="A73" s="84" t="str">
        <f>IFERROR(IF(Prêt_Non_Payé*Valeurs_Entrées,Numéro_Paiement,""), "")</f>
        <v/>
      </c>
      <c r="B73" s="65" t="str">
        <f>IFERROR(IF(Prêt_Non_Payé*Valeurs_Entrées,Début_Solde,""), "")</f>
        <v/>
      </c>
      <c r="C73" s="65" t="str">
        <f>IFERROR(IF(Prêt_Non_Payé*Valeurs_Entrées,Mensualité,""), "")</f>
        <v/>
      </c>
      <c r="D73" s="65" t="str">
        <f>IFERROR(IF(Prêt_Non_Payé*Valeurs_Entrées,Capital,""), "")</f>
        <v/>
      </c>
      <c r="E73" s="65" t="str">
        <f>IFERROR(IF(Prêt_Non_Payé*Valeurs_Entrées,Intérêts,""), "")</f>
        <v/>
      </c>
      <c r="F73" s="65" t="str">
        <f>IFERROR(IF(Prêt_Non_Payé*Valeurs_Entrées,Fin_Solde,""), "")</f>
        <v/>
      </c>
      <c r="G73" s="66"/>
    </row>
    <row r="74" spans="1:7" ht="17" customHeight="1">
      <c r="A74" s="84" t="str">
        <f>IFERROR(IF(Prêt_Non_Payé*Valeurs_Entrées,Numéro_Paiement,""), "")</f>
        <v/>
      </c>
      <c r="B74" s="65" t="str">
        <f>IFERROR(IF(Prêt_Non_Payé*Valeurs_Entrées,Début_Solde,""), "")</f>
        <v/>
      </c>
      <c r="C74" s="65" t="str">
        <f>IFERROR(IF(Prêt_Non_Payé*Valeurs_Entrées,Mensualité,""), "")</f>
        <v/>
      </c>
      <c r="D74" s="65" t="str">
        <f>IFERROR(IF(Prêt_Non_Payé*Valeurs_Entrées,Capital,""), "")</f>
        <v/>
      </c>
      <c r="E74" s="65" t="str">
        <f>IFERROR(IF(Prêt_Non_Payé*Valeurs_Entrées,Intérêts,""), "")</f>
        <v/>
      </c>
      <c r="F74" s="65" t="str">
        <f>IFERROR(IF(Prêt_Non_Payé*Valeurs_Entrées,Fin_Solde,""), "")</f>
        <v/>
      </c>
      <c r="G74" s="66"/>
    </row>
    <row r="75" spans="1:7" ht="17" customHeight="1">
      <c r="A75" s="84" t="str">
        <f>IFERROR(IF(Prêt_Non_Payé*Valeurs_Entrées,Numéro_Paiement,""), "")</f>
        <v/>
      </c>
      <c r="B75" s="65" t="str">
        <f>IFERROR(IF(Prêt_Non_Payé*Valeurs_Entrées,Début_Solde,""), "")</f>
        <v/>
      </c>
      <c r="C75" s="65" t="str">
        <f>IFERROR(IF(Prêt_Non_Payé*Valeurs_Entrées,Mensualité,""), "")</f>
        <v/>
      </c>
      <c r="D75" s="65" t="str">
        <f>IFERROR(IF(Prêt_Non_Payé*Valeurs_Entrées,Capital,""), "")</f>
        <v/>
      </c>
      <c r="E75" s="65" t="str">
        <f>IFERROR(IF(Prêt_Non_Payé*Valeurs_Entrées,Intérêts,""), "")</f>
        <v/>
      </c>
      <c r="F75" s="65" t="str">
        <f>IFERROR(IF(Prêt_Non_Payé*Valeurs_Entrées,Fin_Solde,""), "")</f>
        <v/>
      </c>
      <c r="G75" s="68"/>
    </row>
    <row r="76" spans="1:7" ht="17" customHeight="1">
      <c r="A76" s="84" t="str">
        <f>IFERROR(IF(Prêt_Non_Payé*Valeurs_Entrées,Numéro_Paiement,""), "")</f>
        <v/>
      </c>
      <c r="B76" s="65" t="str">
        <f>IFERROR(IF(Prêt_Non_Payé*Valeurs_Entrées,Début_Solde,""), "")</f>
        <v/>
      </c>
      <c r="C76" s="65" t="str">
        <f>IFERROR(IF(Prêt_Non_Payé*Valeurs_Entrées,Mensualité,""), "")</f>
        <v/>
      </c>
      <c r="D76" s="65" t="str">
        <f>IFERROR(IF(Prêt_Non_Payé*Valeurs_Entrées,Capital,""), "")</f>
        <v/>
      </c>
      <c r="E76" s="65" t="str">
        <f>IFERROR(IF(Prêt_Non_Payé*Valeurs_Entrées,Intérêts,""), "")</f>
        <v/>
      </c>
      <c r="F76" s="65" t="str">
        <f>IFERROR(IF(Prêt_Non_Payé*Valeurs_Entrées,Fin_Solde,""), "")</f>
        <v/>
      </c>
      <c r="G76" s="68"/>
    </row>
    <row r="77" spans="1:7" ht="17" customHeight="1">
      <c r="A77" s="84" t="str">
        <f>IFERROR(IF(Prêt_Non_Payé*Valeurs_Entrées,Numéro_Paiement,""), "")</f>
        <v/>
      </c>
      <c r="B77" s="65" t="str">
        <f>IFERROR(IF(Prêt_Non_Payé*Valeurs_Entrées,Début_Solde,""), "")</f>
        <v/>
      </c>
      <c r="C77" s="65" t="str">
        <f>IFERROR(IF(Prêt_Non_Payé*Valeurs_Entrées,Mensualité,""), "")</f>
        <v/>
      </c>
      <c r="D77" s="65" t="str">
        <f>IFERROR(IF(Prêt_Non_Payé*Valeurs_Entrées,Capital,""), "")</f>
        <v/>
      </c>
      <c r="E77" s="65" t="str">
        <f>IFERROR(IF(Prêt_Non_Payé*Valeurs_Entrées,Intérêts,""), "")</f>
        <v/>
      </c>
      <c r="F77" s="65" t="str">
        <f>IFERROR(IF(Prêt_Non_Payé*Valeurs_Entrées,Fin_Solde,""), "")</f>
        <v/>
      </c>
      <c r="G77" s="68"/>
    </row>
    <row r="78" spans="1:7" ht="17" customHeight="1">
      <c r="A78" s="84" t="str">
        <f>IFERROR(IF(Prêt_Non_Payé*Valeurs_Entrées,Numéro_Paiement,""), "")</f>
        <v/>
      </c>
      <c r="B78" s="65" t="str">
        <f>IFERROR(IF(Prêt_Non_Payé*Valeurs_Entrées,Début_Solde,""), "")</f>
        <v/>
      </c>
      <c r="C78" s="65" t="str">
        <f>IFERROR(IF(Prêt_Non_Payé*Valeurs_Entrées,Mensualité,""), "")</f>
        <v/>
      </c>
      <c r="D78" s="65" t="str">
        <f>IFERROR(IF(Prêt_Non_Payé*Valeurs_Entrées,Capital,""), "")</f>
        <v/>
      </c>
      <c r="E78" s="65" t="str">
        <f>IFERROR(IF(Prêt_Non_Payé*Valeurs_Entrées,Intérêts,""), "")</f>
        <v/>
      </c>
      <c r="F78" s="65" t="str">
        <f>IFERROR(IF(Prêt_Non_Payé*Valeurs_Entrées,Fin_Solde,""), "")</f>
        <v/>
      </c>
      <c r="G78" s="68"/>
    </row>
    <row r="79" spans="1:7" ht="17" customHeight="1">
      <c r="A79" s="84" t="str">
        <f>IFERROR(IF(Prêt_Non_Payé*Valeurs_Entrées,Numéro_Paiement,""), "")</f>
        <v/>
      </c>
      <c r="B79" s="65" t="str">
        <f>IFERROR(IF(Prêt_Non_Payé*Valeurs_Entrées,Début_Solde,""), "")</f>
        <v/>
      </c>
      <c r="C79" s="65" t="str">
        <f>IFERROR(IF(Prêt_Non_Payé*Valeurs_Entrées,Mensualité,""), "")</f>
        <v/>
      </c>
      <c r="D79" s="65" t="str">
        <f>IFERROR(IF(Prêt_Non_Payé*Valeurs_Entrées,Capital,""), "")</f>
        <v/>
      </c>
      <c r="E79" s="65" t="str">
        <f>IFERROR(IF(Prêt_Non_Payé*Valeurs_Entrées,Intérêts,""), "")</f>
        <v/>
      </c>
      <c r="F79" s="65" t="str">
        <f>IFERROR(IF(Prêt_Non_Payé*Valeurs_Entrées,Fin_Solde,""), "")</f>
        <v/>
      </c>
      <c r="G79" s="68"/>
    </row>
    <row r="80" spans="1:7" ht="17" customHeight="1">
      <c r="A80" s="84" t="str">
        <f>IFERROR(IF(Prêt_Non_Payé*Valeurs_Entrées,Numéro_Paiement,""), "")</f>
        <v/>
      </c>
      <c r="B80" s="65" t="str">
        <f>IFERROR(IF(Prêt_Non_Payé*Valeurs_Entrées,Début_Solde,""), "")</f>
        <v/>
      </c>
      <c r="C80" s="65" t="str">
        <f>IFERROR(IF(Prêt_Non_Payé*Valeurs_Entrées,Mensualité,""), "")</f>
        <v/>
      </c>
      <c r="D80" s="65" t="str">
        <f>IFERROR(IF(Prêt_Non_Payé*Valeurs_Entrées,Capital,""), "")</f>
        <v/>
      </c>
      <c r="E80" s="65" t="str">
        <f>IFERROR(IF(Prêt_Non_Payé*Valeurs_Entrées,Intérêts,""), "")</f>
        <v/>
      </c>
      <c r="F80" s="65" t="str">
        <f>IFERROR(IF(Prêt_Non_Payé*Valeurs_Entrées,Fin_Solde,""), "")</f>
        <v/>
      </c>
      <c r="G80" s="68"/>
    </row>
    <row r="81" spans="1:7" ht="17" customHeight="1">
      <c r="A81" s="84" t="str">
        <f>IFERROR(IF(Prêt_Non_Payé*Valeurs_Entrées,Numéro_Paiement,""), "")</f>
        <v/>
      </c>
      <c r="B81" s="65" t="str">
        <f>IFERROR(IF(Prêt_Non_Payé*Valeurs_Entrées,Début_Solde,""), "")</f>
        <v/>
      </c>
      <c r="C81" s="65" t="str">
        <f>IFERROR(IF(Prêt_Non_Payé*Valeurs_Entrées,Mensualité,""), "")</f>
        <v/>
      </c>
      <c r="D81" s="65" t="str">
        <f>IFERROR(IF(Prêt_Non_Payé*Valeurs_Entrées,Capital,""), "")</f>
        <v/>
      </c>
      <c r="E81" s="65" t="str">
        <f>IFERROR(IF(Prêt_Non_Payé*Valeurs_Entrées,Intérêts,""), "")</f>
        <v/>
      </c>
      <c r="F81" s="65" t="str">
        <f>IFERROR(IF(Prêt_Non_Payé*Valeurs_Entrées,Fin_Solde,""), "")</f>
        <v/>
      </c>
      <c r="G81" s="68"/>
    </row>
    <row r="82" spans="1:7" ht="17" customHeight="1">
      <c r="A82" s="84" t="str">
        <f>IFERROR(IF(Prêt_Non_Payé*Valeurs_Entrées,Numéro_Paiement,""), "")</f>
        <v/>
      </c>
      <c r="B82" s="65" t="str">
        <f>IFERROR(IF(Prêt_Non_Payé*Valeurs_Entrées,Début_Solde,""), "")</f>
        <v/>
      </c>
      <c r="C82" s="65" t="str">
        <f>IFERROR(IF(Prêt_Non_Payé*Valeurs_Entrées,Mensualité,""), "")</f>
        <v/>
      </c>
      <c r="D82" s="65" t="str">
        <f>IFERROR(IF(Prêt_Non_Payé*Valeurs_Entrées,Capital,""), "")</f>
        <v/>
      </c>
      <c r="E82" s="65" t="str">
        <f>IFERROR(IF(Prêt_Non_Payé*Valeurs_Entrées,Intérêts,""), "")</f>
        <v/>
      </c>
      <c r="F82" s="65" t="str">
        <f>IFERROR(IF(Prêt_Non_Payé*Valeurs_Entrées,Fin_Solde,""), "")</f>
        <v/>
      </c>
      <c r="G82" s="68"/>
    </row>
    <row r="83" spans="1:7" ht="17" customHeight="1">
      <c r="A83" s="84" t="str">
        <f>IFERROR(IF(Prêt_Non_Payé*Valeurs_Entrées,Numéro_Paiement,""), "")</f>
        <v/>
      </c>
      <c r="B83" s="65" t="str">
        <f>IFERROR(IF(Prêt_Non_Payé*Valeurs_Entrées,Début_Solde,""), "")</f>
        <v/>
      </c>
      <c r="C83" s="65" t="str">
        <f>IFERROR(IF(Prêt_Non_Payé*Valeurs_Entrées,Mensualité,""), "")</f>
        <v/>
      </c>
      <c r="D83" s="65" t="str">
        <f>IFERROR(IF(Prêt_Non_Payé*Valeurs_Entrées,Capital,""), "")</f>
        <v/>
      </c>
      <c r="E83" s="65" t="str">
        <f>IFERROR(IF(Prêt_Non_Payé*Valeurs_Entrées,Intérêts,""), "")</f>
        <v/>
      </c>
      <c r="F83" s="65" t="str">
        <f>IFERROR(IF(Prêt_Non_Payé*Valeurs_Entrées,Fin_Solde,""), "")</f>
        <v/>
      </c>
      <c r="G83" s="68"/>
    </row>
    <row r="84" spans="1:7" ht="17" customHeight="1">
      <c r="A84" s="84" t="str">
        <f>IFERROR(IF(Prêt_Non_Payé*Valeurs_Entrées,Numéro_Paiement,""), "")</f>
        <v/>
      </c>
      <c r="B84" s="65" t="str">
        <f>IFERROR(IF(Prêt_Non_Payé*Valeurs_Entrées,Début_Solde,""), "")</f>
        <v/>
      </c>
      <c r="C84" s="65" t="str">
        <f>IFERROR(IF(Prêt_Non_Payé*Valeurs_Entrées,Mensualité,""), "")</f>
        <v/>
      </c>
      <c r="D84" s="65" t="str">
        <f>IFERROR(IF(Prêt_Non_Payé*Valeurs_Entrées,Capital,""), "")</f>
        <v/>
      </c>
      <c r="E84" s="65" t="str">
        <f>IFERROR(IF(Prêt_Non_Payé*Valeurs_Entrées,Intérêts,""), "")</f>
        <v/>
      </c>
      <c r="F84" s="65" t="str">
        <f>IFERROR(IF(Prêt_Non_Payé*Valeurs_Entrées,Fin_Solde,""), "")</f>
        <v/>
      </c>
      <c r="G84" s="68"/>
    </row>
    <row r="85" spans="1:7" ht="17" customHeight="1">
      <c r="A85" s="84" t="str">
        <f>IFERROR(IF(Prêt_Non_Payé*Valeurs_Entrées,Numéro_Paiement,""), "")</f>
        <v/>
      </c>
      <c r="B85" s="65" t="str">
        <f>IFERROR(IF(Prêt_Non_Payé*Valeurs_Entrées,Début_Solde,""), "")</f>
        <v/>
      </c>
      <c r="C85" s="65" t="str">
        <f>IFERROR(IF(Prêt_Non_Payé*Valeurs_Entrées,Mensualité,""), "")</f>
        <v/>
      </c>
      <c r="D85" s="65" t="str">
        <f>IFERROR(IF(Prêt_Non_Payé*Valeurs_Entrées,Capital,""), "")</f>
        <v/>
      </c>
      <c r="E85" s="65" t="str">
        <f>IFERROR(IF(Prêt_Non_Payé*Valeurs_Entrées,Intérêts,""), "")</f>
        <v/>
      </c>
      <c r="F85" s="65" t="str">
        <f>IFERROR(IF(Prêt_Non_Payé*Valeurs_Entrées,Fin_Solde,""), "")</f>
        <v/>
      </c>
      <c r="G85" s="68"/>
    </row>
    <row r="86" spans="1:7" ht="17" customHeight="1">
      <c r="A86" s="84" t="str">
        <f>IFERROR(IF(Prêt_Non_Payé*Valeurs_Entrées,Numéro_Paiement,""), "")</f>
        <v/>
      </c>
      <c r="B86" s="65" t="str">
        <f>IFERROR(IF(Prêt_Non_Payé*Valeurs_Entrées,Début_Solde,""), "")</f>
        <v/>
      </c>
      <c r="C86" s="65" t="str">
        <f>IFERROR(IF(Prêt_Non_Payé*Valeurs_Entrées,Mensualité,""), "")</f>
        <v/>
      </c>
      <c r="D86" s="65" t="str">
        <f>IFERROR(IF(Prêt_Non_Payé*Valeurs_Entrées,Capital,""), "")</f>
        <v/>
      </c>
      <c r="E86" s="65" t="str">
        <f>IFERROR(IF(Prêt_Non_Payé*Valeurs_Entrées,Intérêts,""), "")</f>
        <v/>
      </c>
      <c r="F86" s="65" t="str">
        <f>IFERROR(IF(Prêt_Non_Payé*Valeurs_Entrées,Fin_Solde,""), "")</f>
        <v/>
      </c>
      <c r="G86" s="68"/>
    </row>
    <row r="87" spans="1:7" ht="17" customHeight="1">
      <c r="A87" s="84" t="str">
        <f>IFERROR(IF(Prêt_Non_Payé*Valeurs_Entrées,Numéro_Paiement,""), "")</f>
        <v/>
      </c>
      <c r="B87" s="65" t="str">
        <f>IFERROR(IF(Prêt_Non_Payé*Valeurs_Entrées,Début_Solde,""), "")</f>
        <v/>
      </c>
      <c r="C87" s="65" t="str">
        <f>IFERROR(IF(Prêt_Non_Payé*Valeurs_Entrées,Mensualité,""), "")</f>
        <v/>
      </c>
      <c r="D87" s="65" t="str">
        <f>IFERROR(IF(Prêt_Non_Payé*Valeurs_Entrées,Capital,""), "")</f>
        <v/>
      </c>
      <c r="E87" s="65" t="str">
        <f>IFERROR(IF(Prêt_Non_Payé*Valeurs_Entrées,Intérêts,""), "")</f>
        <v/>
      </c>
      <c r="F87" s="65" t="str">
        <f>IFERROR(IF(Prêt_Non_Payé*Valeurs_Entrées,Fin_Solde,""), "")</f>
        <v/>
      </c>
      <c r="G87" s="68"/>
    </row>
    <row r="88" spans="1:7" ht="17" customHeight="1">
      <c r="A88" s="84" t="str">
        <f>IFERROR(IF(Prêt_Non_Payé*Valeurs_Entrées,Numéro_Paiement,""), "")</f>
        <v/>
      </c>
      <c r="B88" s="65" t="str">
        <f>IFERROR(IF(Prêt_Non_Payé*Valeurs_Entrées,Début_Solde,""), "")</f>
        <v/>
      </c>
      <c r="C88" s="65" t="str">
        <f>IFERROR(IF(Prêt_Non_Payé*Valeurs_Entrées,Mensualité,""), "")</f>
        <v/>
      </c>
      <c r="D88" s="65" t="str">
        <f>IFERROR(IF(Prêt_Non_Payé*Valeurs_Entrées,Capital,""), "")</f>
        <v/>
      </c>
      <c r="E88" s="65" t="str">
        <f>IFERROR(IF(Prêt_Non_Payé*Valeurs_Entrées,Intérêts,""), "")</f>
        <v/>
      </c>
      <c r="F88" s="65" t="str">
        <f>IFERROR(IF(Prêt_Non_Payé*Valeurs_Entrées,Fin_Solde,""), "")</f>
        <v/>
      </c>
      <c r="G88" s="68"/>
    </row>
    <row r="89" spans="1:7" ht="17" customHeight="1">
      <c r="A89" s="84" t="str">
        <f>IFERROR(IF(Prêt_Non_Payé*Valeurs_Entrées,Numéro_Paiement,""), "")</f>
        <v/>
      </c>
      <c r="B89" s="65" t="str">
        <f>IFERROR(IF(Prêt_Non_Payé*Valeurs_Entrées,Début_Solde,""), "")</f>
        <v/>
      </c>
      <c r="C89" s="65" t="str">
        <f>IFERROR(IF(Prêt_Non_Payé*Valeurs_Entrées,Mensualité,""), "")</f>
        <v/>
      </c>
      <c r="D89" s="65" t="str">
        <f>IFERROR(IF(Prêt_Non_Payé*Valeurs_Entrées,Capital,""), "")</f>
        <v/>
      </c>
      <c r="E89" s="65" t="str">
        <f>IFERROR(IF(Prêt_Non_Payé*Valeurs_Entrées,Intérêts,""), "")</f>
        <v/>
      </c>
      <c r="F89" s="65" t="str">
        <f>IFERROR(IF(Prêt_Non_Payé*Valeurs_Entrées,Fin_Solde,""), "")</f>
        <v/>
      </c>
      <c r="G89" s="68"/>
    </row>
  </sheetData>
  <sheetProtection algorithmName="SHA-512" hashValue="RtYnUpCzHQH7LzDkbS79uOz6r+Hz+qmN6FHZgtqfUcnBfdelsa0ciAI9S0vExOjr/9IYy/sIm5uO9Xt6CjmBlA==" saltValue="u7xuEWb5aItdG/I3r+eEnQ==" spinCount="100000" sheet="1" objects="1" scenarios="1"/>
  <conditionalFormatting sqref="A50:A89">
    <cfRule type="expression" dxfId="33" priority="12" stopIfTrue="1">
      <formula>NOT(Prêt_Non_Payé)</formula>
    </cfRule>
    <cfRule type="expression" dxfId="32" priority="13" stopIfTrue="1">
      <formula>IF(ROW(A50)=Dernière_Ligne,TRUE,FALSE)</formula>
    </cfRule>
  </conditionalFormatting>
  <conditionalFormatting sqref="B50:E89">
    <cfRule type="expression" dxfId="31" priority="10" stopIfTrue="1">
      <formula>NOT(Prêt_Non_Payé)</formula>
    </cfRule>
    <cfRule type="expression" dxfId="30" priority="11" stopIfTrue="1">
      <formula>IF(ROW(B50)=Dernière_Ligne,TRUE,FALSE)</formula>
    </cfRule>
  </conditionalFormatting>
  <conditionalFormatting sqref="B18:AE18">
    <cfRule type="cellIs" dxfId="29" priority="8" operator="greaterThan">
      <formula>0</formula>
    </cfRule>
    <cfRule type="cellIs" dxfId="28" priority="9" operator="lessThan">
      <formula>0</formula>
    </cfRule>
  </conditionalFormatting>
  <conditionalFormatting sqref="B26:AE27">
    <cfRule type="cellIs" dxfId="27" priority="4" operator="greaterThan">
      <formula>0</formula>
    </cfRule>
    <cfRule type="cellIs" dxfId="26" priority="5" operator="lessThan">
      <formula>0</formula>
    </cfRule>
  </conditionalFormatting>
  <conditionalFormatting sqref="B33:AE33">
    <cfRule type="cellIs" dxfId="25" priority="3" operator="lessThan">
      <formula>0</formula>
    </cfRule>
  </conditionalFormatting>
  <conditionalFormatting sqref="B36:AE37">
    <cfRule type="cellIs" dxfId="24" priority="1" operator="lessThan">
      <formula>0</formula>
    </cfRule>
  </conditionalFormatting>
  <conditionalFormatting sqref="B45:AE46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F50:F89">
    <cfRule type="expression" dxfId="21" priority="14" stopIfTrue="1">
      <formula>NOT(Prêt_Non_Payé)</formula>
    </cfRule>
    <cfRule type="expression" dxfId="20" priority="15" stopIfTrue="1">
      <formula>IF(ROW(F50)=Dernière_Ligne,TRUE,FALSE)</formula>
    </cfRule>
  </conditionalFormatting>
  <printOptions horizontalCentered="1"/>
  <pageMargins left="0.5" right="0.5" top="1" bottom="1" header="0.5" footer="0.5"/>
  <pageSetup paperSize="9" scale="93" fitToHeight="0" orientation="portrait" r:id="rId1"/>
  <headerFooter differentFirst="1">
    <oddFooter>Page &amp;P of &amp;N</oddFooter>
  </headerFooter>
  <rowBreaks count="1" manualBreakCount="1">
    <brk id="68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2661-C8F7-7E48-B695-DC08F4B2B329}">
  <sheetPr>
    <tabColor theme="6"/>
    <pageSetUpPr fitToPage="1"/>
  </sheetPr>
  <dimension ref="A1:AF89"/>
  <sheetViews>
    <sheetView showGridLines="0" topLeftCell="A19" zoomScaleNormal="100" workbookViewId="0">
      <pane xSplit="1" topLeftCell="B1" activePane="topRight" state="frozen"/>
      <selection pane="topRight" activeCell="D55" sqref="D55"/>
    </sheetView>
  </sheetViews>
  <sheetFormatPr baseColWidth="10" defaultColWidth="9" defaultRowHeight="17" customHeight="1"/>
  <cols>
    <col min="1" max="1" width="57.5" style="85" customWidth="1"/>
    <col min="2" max="6" width="17.8125" style="61" customWidth="1"/>
    <col min="7" max="7" width="17.8125" style="62" customWidth="1"/>
    <col min="8" max="31" width="17.8125" style="61" customWidth="1"/>
    <col min="32" max="32" width="16.6875" style="23" customWidth="1"/>
    <col min="33" max="16384" width="9" style="23"/>
  </cols>
  <sheetData>
    <row r="1" spans="1:31" s="26" customFormat="1" ht="41" customHeight="1">
      <c r="A1" s="82" t="s">
        <v>47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s="81" customFormat="1" ht="16.05" customHeight="1">
      <c r="A2" s="30" t="s">
        <v>67</v>
      </c>
      <c r="B2" s="48">
        <v>1</v>
      </c>
      <c r="C2" s="48">
        <f>B2+1</f>
        <v>2</v>
      </c>
      <c r="D2" s="48">
        <f>C2+1</f>
        <v>3</v>
      </c>
      <c r="E2" s="48">
        <f t="shared" ref="E2:AE2" si="0">D2+1</f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</row>
    <row r="3" spans="1:31" s="81" customFormat="1" ht="16.05" customHeight="1">
      <c r="A3" s="34" t="s">
        <v>51</v>
      </c>
      <c r="B3" s="49">
        <f>Projet!C12+Projet!C25+Projet!C26</f>
        <v>236007.80000000002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s="25" customFormat="1" ht="16.05" customHeight="1">
      <c r="A4" s="32" t="s">
        <v>70</v>
      </c>
      <c r="B4" s="51">
        <f>Prix_d_achat+Projet!C10</f>
        <v>219000</v>
      </c>
      <c r="C4" s="51">
        <f>B4*(1+Projet!$C$21)</f>
        <v>220094.99999999997</v>
      </c>
      <c r="D4" s="51">
        <f>C4*(1+Projet!$C$21)</f>
        <v>221195.47499999995</v>
      </c>
      <c r="E4" s="51">
        <f>D4*(1+Projet!$C$21)</f>
        <v>222301.45237499994</v>
      </c>
      <c r="F4" s="51">
        <f>E4*(1+Projet!$C$21)</f>
        <v>223412.9596368749</v>
      </c>
      <c r="G4" s="51">
        <f>F4*(1+Projet!$C$21)</f>
        <v>224530.02443505925</v>
      </c>
      <c r="H4" s="51">
        <f>G4*(1+Projet!$C$21)</f>
        <v>225652.67455723454</v>
      </c>
      <c r="I4" s="51">
        <f>H4*(1+Projet!$C$21)</f>
        <v>226780.93793002068</v>
      </c>
      <c r="J4" s="51">
        <f>I4*(1+Projet!$C$21)</f>
        <v>227914.84261967076</v>
      </c>
      <c r="K4" s="51">
        <f>J4*(1+Projet!$C$21)</f>
        <v>229054.41683276909</v>
      </c>
      <c r="L4" s="51">
        <f>K4*(1+Projet!$C$21)</f>
        <v>230199.68891693291</v>
      </c>
      <c r="M4" s="51">
        <f>L4*(1+Projet!$C$21)</f>
        <v>231350.68736151754</v>
      </c>
      <c r="N4" s="51">
        <f>M4*(1+Projet!$C$21)</f>
        <v>232507.44079832511</v>
      </c>
      <c r="O4" s="51">
        <f>N4*(1+Projet!$C$21)</f>
        <v>233669.97800231673</v>
      </c>
      <c r="P4" s="51">
        <f>O4*(1+Projet!$C$21)</f>
        <v>234838.32789232829</v>
      </c>
      <c r="Q4" s="51">
        <f>P4*(1+Projet!$C$21)</f>
        <v>236012.51953178991</v>
      </c>
      <c r="R4" s="51">
        <f>Q4*(1+Projet!$C$21)</f>
        <v>237192.58212944883</v>
      </c>
      <c r="S4" s="51">
        <f>R4*(1+Projet!$C$21)</f>
        <v>238378.54504009604</v>
      </c>
      <c r="T4" s="51">
        <f>S4*(1+Projet!$C$21)</f>
        <v>239570.43776529649</v>
      </c>
      <c r="U4" s="51">
        <f>T4*(1+Projet!$C$21)</f>
        <v>240768.28995412294</v>
      </c>
      <c r="V4" s="51">
        <f>U4*(1+Projet!$C$21)</f>
        <v>241972.13140389352</v>
      </c>
      <c r="W4" s="51">
        <f>V4*(1+Projet!$C$21)</f>
        <v>243181.99206091298</v>
      </c>
      <c r="X4" s="51">
        <f>W4*(1+Projet!$C$21)</f>
        <v>244397.90202121751</v>
      </c>
      <c r="Y4" s="51">
        <f>X4*(1+Projet!$C$21)</f>
        <v>245619.89153132358</v>
      </c>
      <c r="Z4" s="51">
        <f>Y4*(1+Projet!$C$21)</f>
        <v>246847.99098898016</v>
      </c>
      <c r="AA4" s="51">
        <f>Z4*(1+Projet!$C$21)</f>
        <v>248082.23094392504</v>
      </c>
      <c r="AB4" s="51">
        <f>AA4*(1+Projet!$C$21)</f>
        <v>249322.64209864463</v>
      </c>
      <c r="AC4" s="51">
        <f>AB4*(1+Projet!$C$21)</f>
        <v>250569.25530913784</v>
      </c>
      <c r="AD4" s="51">
        <f>AC4*(1+Projet!$C$21)</f>
        <v>251822.1015856835</v>
      </c>
      <c r="AE4" s="51">
        <f>AD4*(1+Projet!$C$21)</f>
        <v>253081.21209361189</v>
      </c>
    </row>
    <row r="5" spans="1:31" s="20" customFormat="1" ht="16.05" customHeight="1">
      <c r="A5" s="31" t="s">
        <v>52</v>
      </c>
      <c r="B5" s="52">
        <f ca="1">Echéancier!J26</f>
        <v>226992.27438613478</v>
      </c>
      <c r="C5" s="52">
        <f ca="1">Echéancier!J38</f>
        <v>221239.34070192344</v>
      </c>
      <c r="D5" s="52">
        <f ca="1">Echéancier!J50</f>
        <v>215252.02362310211</v>
      </c>
      <c r="E5" s="52">
        <f ca="1">Echéancier!J62</f>
        <v>209020.77400853956</v>
      </c>
      <c r="F5" s="52">
        <f ca="1">Echéancier!J74</f>
        <v>202535.65367036138</v>
      </c>
      <c r="G5" s="52">
        <f ca="1">Echéancier!J86</f>
        <v>195786.31952358535</v>
      </c>
      <c r="H5" s="52">
        <f ca="1">Echéancier!J98</f>
        <v>188762.00708998839</v>
      </c>
      <c r="I5" s="52">
        <f ca="1">Echéancier!J110</f>
        <v>181451.51332989606</v>
      </c>
      <c r="J5" s="52">
        <f ca="1">Echéancier!J122</f>
        <v>173843.17877451202</v>
      </c>
      <c r="K5" s="52">
        <f ca="1">Echéancier!J134</f>
        <v>165924.86893029173</v>
      </c>
      <c r="L5" s="52">
        <f ca="1">Echéancier!J146</f>
        <v>157683.95492570088</v>
      </c>
      <c r="M5" s="52">
        <f ca="1">Echéancier!J158</f>
        <v>149107.29336949371</v>
      </c>
      <c r="N5" s="52">
        <f ca="1">Echéancier!J170</f>
        <v>140181.2053883858</v>
      </c>
      <c r="O5" s="52">
        <f ca="1">Echéancier!J182</f>
        <v>130891.45481068979</v>
      </c>
      <c r="P5" s="52">
        <f ca="1">Echéancier!J194</f>
        <v>121223.22546111833</v>
      </c>
      <c r="Q5" s="52">
        <f ca="1">Echéancier!J206</f>
        <v>111161.09753054305</v>
      </c>
      <c r="R5" s="52">
        <f ca="1">Echéancier!J218</f>
        <v>100689.02298301971</v>
      </c>
      <c r="S5" s="52">
        <f ca="1">Echéancier!J230</f>
        <v>89790.299960859236</v>
      </c>
      <c r="T5" s="52">
        <f ca="1">Echéancier!J242</f>
        <v>78447.546146920533</v>
      </c>
      <c r="U5" s="52">
        <f ca="1">Echéancier!J254</f>
        <v>66642.671041642607</v>
      </c>
      <c r="V5" s="52">
        <f ca="1">Echéancier!J266</f>
        <v>54356.847110600211</v>
      </c>
      <c r="W5" s="52">
        <f ca="1">Echéancier!J278</f>
        <v>41570.479756566288</v>
      </c>
      <c r="X5" s="52">
        <f ca="1">Echéancier!J290</f>
        <v>28263.17606818967</v>
      </c>
      <c r="Y5" s="52">
        <f ca="1">Echéancier!J302</f>
        <v>14413.712295446428</v>
      </c>
      <c r="Z5" s="52">
        <f ca="1">Echéancier!J314</f>
        <v>-1.0011717677116394E-8</v>
      </c>
      <c r="AA5" s="52" t="str">
        <f ca="1">Echéancier!J326</f>
        <v/>
      </c>
      <c r="AB5" s="52" t="str">
        <f ca="1">Echéancier!J338</f>
        <v/>
      </c>
      <c r="AC5" s="52" t="str">
        <f ca="1">Echéancier!J350</f>
        <v/>
      </c>
      <c r="AD5" s="52" t="str">
        <f ca="1">Echéancier!J362</f>
        <v/>
      </c>
      <c r="AE5" s="52" t="str">
        <f ca="1">Echéancier!J374</f>
        <v/>
      </c>
    </row>
    <row r="6" spans="1:31" s="20" customFormat="1" ht="16.05" customHeight="1">
      <c r="A6" s="32" t="s">
        <v>53</v>
      </c>
      <c r="B6" s="51">
        <f ca="1">IF(B5="",B4,B4-B5)</f>
        <v>-7992.2743861347844</v>
      </c>
      <c r="C6" s="51">
        <f t="shared" ref="C6:AE6" ca="1" si="1">IF(C5="",C4,C4-C5)</f>
        <v>-1144.3407019234728</v>
      </c>
      <c r="D6" s="51">
        <f t="shared" ca="1" si="1"/>
        <v>5943.4513768978359</v>
      </c>
      <c r="E6" s="51">
        <f t="shared" ca="1" si="1"/>
        <v>13280.678366460372</v>
      </c>
      <c r="F6" s="51">
        <f t="shared" ca="1" si="1"/>
        <v>20877.305966513522</v>
      </c>
      <c r="G6" s="51">
        <f t="shared" ca="1" si="1"/>
        <v>28743.704911473906</v>
      </c>
      <c r="H6" s="51">
        <f t="shared" ca="1" si="1"/>
        <v>36890.667467246152</v>
      </c>
      <c r="I6" s="51">
        <f t="shared" ca="1" si="1"/>
        <v>45329.424600124621</v>
      </c>
      <c r="J6" s="51">
        <f t="shared" ca="1" si="1"/>
        <v>54071.663845158735</v>
      </c>
      <c r="K6" s="51">
        <f t="shared" ca="1" si="1"/>
        <v>63129.547902477352</v>
      </c>
      <c r="L6" s="51">
        <f t="shared" ca="1" si="1"/>
        <v>72515.733991232031</v>
      </c>
      <c r="M6" s="51">
        <f t="shared" ca="1" si="1"/>
        <v>82243.393992023834</v>
      </c>
      <c r="N6" s="51">
        <f t="shared" ca="1" si="1"/>
        <v>92326.235409939312</v>
      </c>
      <c r="O6" s="51">
        <f t="shared" ca="1" si="1"/>
        <v>102778.52319162694</v>
      </c>
      <c r="P6" s="51">
        <f t="shared" ca="1" si="1"/>
        <v>113615.10243120996</v>
      </c>
      <c r="Q6" s="51">
        <f t="shared" ca="1" si="1"/>
        <v>124851.42200124686</v>
      </c>
      <c r="R6" s="51">
        <f t="shared" ca="1" si="1"/>
        <v>136503.55914642912</v>
      </c>
      <c r="S6" s="51">
        <f t="shared" ca="1" si="1"/>
        <v>148588.2450792368</v>
      </c>
      <c r="T6" s="51">
        <f t="shared" ca="1" si="1"/>
        <v>161122.89161837596</v>
      </c>
      <c r="U6" s="51">
        <f t="shared" ca="1" si="1"/>
        <v>174125.61891248033</v>
      </c>
      <c r="V6" s="51">
        <f t="shared" ca="1" si="1"/>
        <v>187615.28429329331</v>
      </c>
      <c r="W6" s="51">
        <f t="shared" ca="1" si="1"/>
        <v>201611.51230434669</v>
      </c>
      <c r="X6" s="51">
        <f t="shared" ca="1" si="1"/>
        <v>216134.72595302784</v>
      </c>
      <c r="Y6" s="51">
        <f t="shared" ca="1" si="1"/>
        <v>231206.17923587715</v>
      </c>
      <c r="Z6" s="51">
        <f t="shared" ca="1" si="1"/>
        <v>246847.99098899018</v>
      </c>
      <c r="AA6" s="51">
        <f t="shared" ca="1" si="1"/>
        <v>248082.23094392504</v>
      </c>
      <c r="AB6" s="51">
        <f t="shared" ca="1" si="1"/>
        <v>249322.64209864463</v>
      </c>
      <c r="AC6" s="51">
        <f t="shared" ca="1" si="1"/>
        <v>250569.25530913784</v>
      </c>
      <c r="AD6" s="51">
        <f t="shared" ca="1" si="1"/>
        <v>251822.1015856835</v>
      </c>
      <c r="AE6" s="51">
        <f t="shared" ca="1" si="1"/>
        <v>253081.21209361189</v>
      </c>
    </row>
    <row r="7" spans="1:31" s="20" customFormat="1" ht="16.05" customHeight="1">
      <c r="A7" s="31"/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5" customFormat="1" ht="16.05" customHeight="1">
      <c r="A8" s="44" t="s">
        <v>69</v>
      </c>
      <c r="B8" s="55">
        <f>Projet!E59</f>
        <v>0</v>
      </c>
      <c r="C8" s="55">
        <f>B8*(1+Projet!$C$21)</f>
        <v>0</v>
      </c>
      <c r="D8" s="55">
        <f>C8*(1+Projet!$C$21)</f>
        <v>0</v>
      </c>
      <c r="E8" s="55">
        <f>D8*(1+Projet!$C$21)</f>
        <v>0</v>
      </c>
      <c r="F8" s="55">
        <f>E8*(1+Projet!$C$21)</f>
        <v>0</v>
      </c>
      <c r="G8" s="55">
        <f>F8*(1+Projet!$C$21)</f>
        <v>0</v>
      </c>
      <c r="H8" s="55">
        <f>G8*(1+Projet!$C$21)</f>
        <v>0</v>
      </c>
      <c r="I8" s="55">
        <f>H8*(1+Projet!$C$21)</f>
        <v>0</v>
      </c>
      <c r="J8" s="55">
        <f>I8*(1+Projet!$C$21)</f>
        <v>0</v>
      </c>
      <c r="K8" s="55">
        <f>J8*(1+Projet!$C$21)</f>
        <v>0</v>
      </c>
      <c r="L8" s="55">
        <f>K8*(1+Projet!$C$21)</f>
        <v>0</v>
      </c>
      <c r="M8" s="55">
        <f>L8*(1+Projet!$C$21)</f>
        <v>0</v>
      </c>
      <c r="N8" s="55">
        <f>Projet!E59</f>
        <v>0</v>
      </c>
      <c r="O8" s="55">
        <f>N8*(1+Projet!$C$21)</f>
        <v>0</v>
      </c>
      <c r="P8" s="55">
        <f>O8*(1+Projet!$C$21)</f>
        <v>0</v>
      </c>
      <c r="Q8" s="55">
        <f>P8*(1+Projet!$C$21)</f>
        <v>0</v>
      </c>
      <c r="R8" s="55">
        <f>Q8*(1+Projet!$C$21)</f>
        <v>0</v>
      </c>
      <c r="S8" s="55">
        <f>R8*(1+Projet!$C$21)</f>
        <v>0</v>
      </c>
      <c r="T8" s="55">
        <f>S8*(1+Projet!$C$21)</f>
        <v>0</v>
      </c>
      <c r="U8" s="55">
        <f>T8*(1+Projet!$C$21)</f>
        <v>0</v>
      </c>
      <c r="V8" s="55">
        <f>U8*(1+Projet!$C$21)</f>
        <v>0</v>
      </c>
      <c r="W8" s="55">
        <f>V8*(1+Projet!$C$21)</f>
        <v>0</v>
      </c>
      <c r="X8" s="55">
        <f>W8*(1+Projet!$C$21)</f>
        <v>0</v>
      </c>
      <c r="Y8" s="55">
        <f>X8*(1+Projet!$C$21)</f>
        <v>0</v>
      </c>
      <c r="Z8" s="55">
        <f>Y8*(1+Projet!$C$21)</f>
        <v>0</v>
      </c>
      <c r="AA8" s="55">
        <f>Z8*(1+Projet!$C$21)</f>
        <v>0</v>
      </c>
      <c r="AB8" s="55">
        <f>AA8*(1+Projet!$C$21)</f>
        <v>0</v>
      </c>
      <c r="AC8" s="55">
        <f>AB8*(1+Projet!$C$21)</f>
        <v>0</v>
      </c>
      <c r="AD8" s="55">
        <f>AC8*(1+Projet!$C$21)</f>
        <v>0</v>
      </c>
      <c r="AE8" s="55">
        <f>AD8*(1+Projet!$C$21)</f>
        <v>0</v>
      </c>
    </row>
    <row r="9" spans="1:31" s="20" customFormat="1" ht="16.05" customHeight="1">
      <c r="A9" s="31" t="s">
        <v>23</v>
      </c>
      <c r="B9" s="52">
        <f ca="1">IF(B2&lt;=Projet!$C$28,Echéancier!$G$9*12,0)</f>
        <v>14727.914652724703</v>
      </c>
      <c r="C9" s="52">
        <f ca="1">IF(C2&lt;=Projet!$C$28,Echéancier!$G$9*12,0)</f>
        <v>14727.914652724703</v>
      </c>
      <c r="D9" s="52">
        <f ca="1">IF(D2&lt;=Projet!$C$28,Echéancier!$G$9*12,0)</f>
        <v>14727.914652724703</v>
      </c>
      <c r="E9" s="52">
        <f ca="1">IF(E2&lt;=Projet!$C$28,Echéancier!$G$9*12,0)</f>
        <v>14727.914652724703</v>
      </c>
      <c r="F9" s="52">
        <f ca="1">IF(F2&lt;=Projet!$C$28,Echéancier!$G$9*12,0)</f>
        <v>14727.914652724703</v>
      </c>
      <c r="G9" s="52">
        <f ca="1">IF(G2&lt;=Projet!$C$28,Echéancier!$G$9*12,0)</f>
        <v>14727.914652724703</v>
      </c>
      <c r="H9" s="52">
        <f ca="1">IF(H2&lt;=Projet!$C$28,Echéancier!$G$9*12,0)</f>
        <v>14727.914652724703</v>
      </c>
      <c r="I9" s="52">
        <f ca="1">IF(I2&lt;=Projet!$C$28,Echéancier!$G$9*12,0)</f>
        <v>14727.914652724703</v>
      </c>
      <c r="J9" s="52">
        <f ca="1">IF(J2&lt;=Projet!$C$28,Echéancier!$G$9*12,0)</f>
        <v>14727.914652724703</v>
      </c>
      <c r="K9" s="52">
        <f ca="1">IF(K2&lt;=Projet!$C$28,Echéancier!$G$9*12,0)</f>
        <v>14727.914652724703</v>
      </c>
      <c r="L9" s="52">
        <f ca="1">IF(L2&lt;=Projet!$C$28,Echéancier!$G$9*12,0)</f>
        <v>14727.914652724703</v>
      </c>
      <c r="M9" s="52">
        <f ca="1">IF(M2&lt;=Projet!$C$28,Echéancier!$G$9*12,0)</f>
        <v>14727.914652724703</v>
      </c>
      <c r="N9" s="52">
        <f ca="1">IF(N2&lt;=Projet!$C$28,Echéancier!$G$9*12,0)</f>
        <v>14727.914652724703</v>
      </c>
      <c r="O9" s="52">
        <f ca="1">IF(O2&lt;=Projet!$C$28,Echéancier!$G$9*12,0)</f>
        <v>14727.914652724703</v>
      </c>
      <c r="P9" s="52">
        <f ca="1">IF(P2&lt;=Projet!$C$28,Echéancier!$G$9*12,0)</f>
        <v>14727.914652724703</v>
      </c>
      <c r="Q9" s="52">
        <f ca="1">IF(Q2&lt;=Projet!$C$28,Echéancier!$G$9*12,0)</f>
        <v>14727.914652724703</v>
      </c>
      <c r="R9" s="52">
        <f ca="1">IF(R2&lt;=Projet!$C$28,Echéancier!$G$9*12,0)</f>
        <v>14727.914652724703</v>
      </c>
      <c r="S9" s="52">
        <f ca="1">IF(S2&lt;=Projet!$C$28,Echéancier!$G$9*12,0)</f>
        <v>14727.914652724703</v>
      </c>
      <c r="T9" s="52">
        <f ca="1">IF(T2&lt;=Projet!$C$28,Echéancier!$G$9*12,0)</f>
        <v>14727.914652724703</v>
      </c>
      <c r="U9" s="52">
        <f ca="1">IF(U2&lt;=Projet!$C$28,Echéancier!$G$9*12,0)</f>
        <v>14727.914652724703</v>
      </c>
      <c r="V9" s="52">
        <f ca="1">IF(V2&lt;=Projet!$C$28,Echéancier!$G$9*12,0)</f>
        <v>14727.914652724703</v>
      </c>
      <c r="W9" s="52">
        <f ca="1">IF(W2&lt;=Projet!$C$28,Echéancier!$G$9*12,0)</f>
        <v>14727.914652724703</v>
      </c>
      <c r="X9" s="52">
        <f ca="1">IF(X2&lt;=Projet!$C$28,Echéancier!$G$9*12,0)</f>
        <v>14727.914652724703</v>
      </c>
      <c r="Y9" s="52">
        <f ca="1">IF(Y2&lt;=Projet!$C$28,Echéancier!$G$9*12,0)</f>
        <v>14727.914652724703</v>
      </c>
      <c r="Z9" s="52">
        <f ca="1">IF(Z2&lt;=Projet!$C$28,Echéancier!$G$9*12,0)</f>
        <v>14727.914652724703</v>
      </c>
      <c r="AA9" s="52">
        <f ca="1">IF(AA2&lt;=Projet!$C$28,Echéancier!$G$9*12,0)</f>
        <v>14727.914652724703</v>
      </c>
      <c r="AB9" s="52">
        <f ca="1">IF(AB2&lt;=Projet!$C$28,Echéancier!$G$9*12,0)</f>
        <v>14727.914652724703</v>
      </c>
      <c r="AC9" s="52">
        <f ca="1">IF(AC2&lt;=Projet!$C$28,Echéancier!$G$9*12,0)</f>
        <v>14727.914652724703</v>
      </c>
      <c r="AD9" s="52">
        <f ca="1">IF(AD2&lt;=Projet!$C$28,Echéancier!$G$9*12,0)</f>
        <v>14727.914652724703</v>
      </c>
      <c r="AE9" s="52">
        <f ca="1">IF(AE2&lt;=Projet!$C$28,Echéancier!$G$9*12,0)</f>
        <v>14727.914652724703</v>
      </c>
    </row>
    <row r="10" spans="1:31" s="20" customFormat="1" ht="16.05" customHeight="1">
      <c r="A10" s="32" t="s">
        <v>22</v>
      </c>
      <c r="B10" s="51">
        <f ca="1">IF(B2&lt;=Projet!$C$28,SUM((Echéancier!$H$15:$H$26)),0)</f>
        <v>5527.7256138650646</v>
      </c>
      <c r="C10" s="51">
        <f ca="1">IF(C2&lt;=Projet!$C$28,SUM((Echéancier!H27:H38)),0)</f>
        <v>5752.9336842111697</v>
      </c>
      <c r="D10" s="51">
        <f ca="1">IF(D2&lt;=Projet!$C$28,SUM((Echéancier!H39:H50)),0)</f>
        <v>5987.3170788211601</v>
      </c>
      <c r="E10" s="51">
        <f ca="1">IF(E2&lt;=Projet!$C$28,SUM((Echéancier!H51:H62),0))</f>
        <v>6231.2496145623436</v>
      </c>
      <c r="F10" s="51">
        <f ca="1">IF(F2&lt;=Projet!$C$28,SUM((Echéancier!$H$63:$H$74),0))</f>
        <v>6485.1203381779578</v>
      </c>
      <c r="G10" s="51">
        <f ca="1">IF(G2&lt;=Projet!$C$28,SUM((Echéancier!$H$75:$H$86),0))</f>
        <v>6749.3341467758364</v>
      </c>
      <c r="H10" s="51">
        <f ca="1">IF(H2&lt;=Projet!$C$28,SUM((Echéancier!$H$87:$H$98),0))</f>
        <v>7024.312433596705</v>
      </c>
      <c r="I10" s="51">
        <f ca="1">IF(I2&lt;=Projet!$C$28,SUM((Echéancier!$H$99:$H$110),0))</f>
        <v>7310.4937600920975</v>
      </c>
      <c r="J10" s="51">
        <f ca="1">IF(J2&lt;=Projet!$C$28,SUM((Echéancier!$H$111:$H$122),0))</f>
        <v>7608.3345553837435</v>
      </c>
      <c r="K10" s="51">
        <f ca="1">IF(K2&lt;=Projet!$C$28,SUM((Echéancier!$H$123:$H$134),0))</f>
        <v>7918.3098442200289</v>
      </c>
      <c r="L10" s="51">
        <f ca="1">IF(L2&lt;=Projet!$C$28,SUM((Echéancier!$H$135:$H$146),0))</f>
        <v>8240.9140045905133</v>
      </c>
      <c r="M10" s="51">
        <f ca="1">IF(M2&lt;=Projet!$C$28,SUM((Echéancier!$H$147:$H$158),0))</f>
        <v>8576.6615562068328</v>
      </c>
      <c r="N10" s="51">
        <f ca="1">IF(N2&lt;=Projet!$C$28,SUM((Echéancier!$H$159:$H$170),0))</f>
        <v>8926.0879811075447</v>
      </c>
      <c r="O10" s="51">
        <f ca="1">IF(O2&lt;=Projet!$C$28,SUM((Echéancier!$H$171:$H$182),0))</f>
        <v>9289.750577695655</v>
      </c>
      <c r="P10" s="51">
        <f ca="1">IF(P2&lt;=Projet!$C$28,SUM((Echéancier!$H$183:$H$194),0))</f>
        <v>9668.2293495709837</v>
      </c>
      <c r="Q10" s="51">
        <f ca="1">IF(Q2&lt;=Projet!$C$28,SUM((Echéancier!$H$195:$H$206),0))</f>
        <v>10062.127930574898</v>
      </c>
      <c r="R10" s="51">
        <f ca="1">IF(R2&lt;=Projet!$C$28,SUM((Echéancier!$H$207:$H$218),0))</f>
        <v>10472.07454752283</v>
      </c>
      <c r="S10" s="51">
        <f ca="1">IF(S2&lt;=Projet!$C$28,SUM((Echéancier!$H$219:$H$230),0))</f>
        <v>10898.723022159969</v>
      </c>
      <c r="T10" s="51">
        <f ca="1">IF(T2&lt;=Projet!$C$28,SUM((Echéancier!$H$231:$H$242),0))</f>
        <v>11342.753813938196</v>
      </c>
      <c r="U10" s="51">
        <f ca="1">IF(U2&lt;=Projet!$C$28,SUM((Echéancier!$H$243:$H$254),0))</f>
        <v>11804.87510527737</v>
      </c>
      <c r="V10" s="51">
        <f ca="1">IF(V2&lt;=Projet!$C$28,SUM((Echéancier!$H$255:$H$266),0))</f>
        <v>12285.823931041783</v>
      </c>
      <c r="W10" s="51">
        <f ca="1">IF(W2&lt;=Projet!$C$28,SUM((Echéancier!$H$267:$H$278),0))</f>
        <v>12786.367354033298</v>
      </c>
      <c r="X10" s="51">
        <f ca="1">IF(X2&lt;=Projet!$C$28,SUM((Echéancier!$H$279:$H$290),0))</f>
        <v>13307.303688375845</v>
      </c>
      <c r="Y10" s="51">
        <f ca="1">IF(Y2&lt;=Projet!$C$28,SUM((Echéancier!$H$291:$H$302),0))</f>
        <v>13849.463772742485</v>
      </c>
      <c r="Z10" s="51">
        <f ca="1">IF(Z2&lt;=Projet!$C$28,SUM((Echéancier!$H$303:$H$314)),0)</f>
        <v>14413.712295455744</v>
      </c>
      <c r="AA10" s="51">
        <f ca="1">IF(AA2&lt;=Projet!$C$28,SUM((Echéancier!$H$315:$H$326)),0)</f>
        <v>0</v>
      </c>
      <c r="AB10" s="51">
        <f ca="1">IF(AB2&lt;=Projet!$C$28,SUM((Echéancier!$H$327:$H$338)),0)</f>
        <v>0</v>
      </c>
      <c r="AC10" s="51">
        <f ca="1">IF(AC2&lt;=Projet!$C$28,SUM((Echéancier!$H$339:$H$350)),0)</f>
        <v>0</v>
      </c>
      <c r="AD10" s="51">
        <f ca="1">IF(AD2&lt;=Projet!$C$28,SUM((Echéancier!$H$351:$H$362)),0)</f>
        <v>0</v>
      </c>
      <c r="AE10" s="51">
        <f ca="1">IF(AE2&lt;=Projet!$C$28,SUM((Echéancier!$H$363:$H$374)),0)</f>
        <v>0</v>
      </c>
    </row>
    <row r="11" spans="1:31" s="20" customFormat="1" ht="16.05" customHeight="1">
      <c r="A11" s="33" t="s">
        <v>24</v>
      </c>
      <c r="B11" s="52">
        <f t="shared" ref="B11:AE11" ca="1" si="2">IF(B10=0,0,B9-B10)</f>
        <v>9200.1890388596385</v>
      </c>
      <c r="C11" s="52">
        <f t="shared" ca="1" si="2"/>
        <v>8974.9809685135333</v>
      </c>
      <c r="D11" s="52">
        <f t="shared" ca="1" si="2"/>
        <v>8740.5975739035421</v>
      </c>
      <c r="E11" s="52">
        <f t="shared" ca="1" si="2"/>
        <v>8496.6650381623585</v>
      </c>
      <c r="F11" s="52">
        <f t="shared" ca="1" si="2"/>
        <v>8242.7943145467452</v>
      </c>
      <c r="G11" s="52">
        <f t="shared" ca="1" si="2"/>
        <v>7978.5805059488666</v>
      </c>
      <c r="H11" s="52">
        <f t="shared" ca="1" si="2"/>
        <v>7703.6022191279981</v>
      </c>
      <c r="I11" s="52">
        <f t="shared" ca="1" si="2"/>
        <v>7417.4208926326055</v>
      </c>
      <c r="J11" s="52">
        <f t="shared" ca="1" si="2"/>
        <v>7119.5800973409596</v>
      </c>
      <c r="K11" s="52">
        <f t="shared" ca="1" si="2"/>
        <v>6809.6048085046741</v>
      </c>
      <c r="L11" s="52">
        <f t="shared" ca="1" si="2"/>
        <v>6487.0006481341898</v>
      </c>
      <c r="M11" s="52">
        <f t="shared" ca="1" si="2"/>
        <v>6151.2530965178703</v>
      </c>
      <c r="N11" s="52">
        <f t="shared" ca="1" si="2"/>
        <v>5801.8266716171584</v>
      </c>
      <c r="O11" s="52">
        <f t="shared" ca="1" si="2"/>
        <v>5438.164075029048</v>
      </c>
      <c r="P11" s="52">
        <f t="shared" ca="1" si="2"/>
        <v>5059.6853031537194</v>
      </c>
      <c r="Q11" s="52">
        <f t="shared" ca="1" si="2"/>
        <v>4665.7867221498054</v>
      </c>
      <c r="R11" s="52">
        <f t="shared" ca="1" si="2"/>
        <v>4255.8401052018726</v>
      </c>
      <c r="S11" s="52">
        <f t="shared" ca="1" si="2"/>
        <v>3829.1916305647337</v>
      </c>
      <c r="T11" s="52">
        <f t="shared" ca="1" si="2"/>
        <v>3385.1608387865072</v>
      </c>
      <c r="U11" s="52">
        <f t="shared" ca="1" si="2"/>
        <v>2923.0395474473335</v>
      </c>
      <c r="V11" s="52">
        <f t="shared" ca="1" si="2"/>
        <v>2442.09072168292</v>
      </c>
      <c r="W11" s="52">
        <f t="shared" ca="1" si="2"/>
        <v>1941.5472986914046</v>
      </c>
      <c r="X11" s="52">
        <f t="shared" ca="1" si="2"/>
        <v>1420.610964348858</v>
      </c>
      <c r="Y11" s="52">
        <f t="shared" ca="1" si="2"/>
        <v>878.45087998221788</v>
      </c>
      <c r="Z11" s="52">
        <f t="shared" ca="1" si="2"/>
        <v>314.20235726895953</v>
      </c>
      <c r="AA11" s="52">
        <f t="shared" ca="1" si="2"/>
        <v>0</v>
      </c>
      <c r="AB11" s="52">
        <f t="shared" ca="1" si="2"/>
        <v>0</v>
      </c>
      <c r="AC11" s="52">
        <f t="shared" ca="1" si="2"/>
        <v>0</v>
      </c>
      <c r="AD11" s="52">
        <f t="shared" ca="1" si="2"/>
        <v>0</v>
      </c>
      <c r="AE11" s="52">
        <f t="shared" ca="1" si="2"/>
        <v>0</v>
      </c>
    </row>
    <row r="12" spans="1:31" s="20" customFormat="1" ht="16.05" customHeight="1">
      <c r="A12" s="32" t="s">
        <v>21</v>
      </c>
      <c r="B12" s="51">
        <f>Projet!$C$30*12</f>
        <v>600</v>
      </c>
      <c r="C12" s="51">
        <f>Projet!$C$30*12</f>
        <v>600</v>
      </c>
      <c r="D12" s="51">
        <f>Projet!$C$30*12</f>
        <v>600</v>
      </c>
      <c r="E12" s="51">
        <f>Projet!$C$30*12</f>
        <v>600</v>
      </c>
      <c r="F12" s="51">
        <f>Projet!$C$30*12</f>
        <v>600</v>
      </c>
      <c r="G12" s="51">
        <f>Projet!$C$30*12</f>
        <v>600</v>
      </c>
      <c r="H12" s="51">
        <f>Projet!$C$30*12</f>
        <v>600</v>
      </c>
      <c r="I12" s="51">
        <f>Projet!$C$30*12</f>
        <v>600</v>
      </c>
      <c r="J12" s="51">
        <f>Projet!$C$30*12</f>
        <v>600</v>
      </c>
      <c r="K12" s="51">
        <f>Projet!$C$30*12</f>
        <v>600</v>
      </c>
      <c r="L12" s="51">
        <f>Projet!$C$30*12</f>
        <v>600</v>
      </c>
      <c r="M12" s="51">
        <f>Projet!$C$30*12</f>
        <v>600</v>
      </c>
      <c r="N12" s="51">
        <f>Projet!$C$30*12</f>
        <v>600</v>
      </c>
      <c r="O12" s="51">
        <f>Projet!$C$30*12</f>
        <v>600</v>
      </c>
      <c r="P12" s="51">
        <f>Projet!$C$30*12</f>
        <v>600</v>
      </c>
      <c r="Q12" s="51">
        <f>Projet!$C$30*12</f>
        <v>600</v>
      </c>
      <c r="R12" s="51">
        <f>Projet!$C$30*12</f>
        <v>600</v>
      </c>
      <c r="S12" s="51">
        <f>Projet!$C$30*12</f>
        <v>600</v>
      </c>
      <c r="T12" s="51">
        <f>Projet!$C$30*12</f>
        <v>600</v>
      </c>
      <c r="U12" s="51">
        <f>Projet!$C$30*12</f>
        <v>600</v>
      </c>
      <c r="V12" s="51">
        <f>Projet!$C$30*12</f>
        <v>600</v>
      </c>
      <c r="W12" s="51">
        <f>Projet!$C$30*12</f>
        <v>600</v>
      </c>
      <c r="X12" s="51">
        <f>Projet!$C$30*12</f>
        <v>600</v>
      </c>
      <c r="Y12" s="51">
        <f>Projet!$C$30*12</f>
        <v>600</v>
      </c>
      <c r="Z12" s="51">
        <f>Projet!$C$30*12</f>
        <v>600</v>
      </c>
      <c r="AA12" s="51">
        <f>Projet!$C$30*12</f>
        <v>600</v>
      </c>
      <c r="AB12" s="51">
        <f>Projet!$C$30*12</f>
        <v>600</v>
      </c>
      <c r="AC12" s="51">
        <f>Projet!$C$30*12</f>
        <v>600</v>
      </c>
      <c r="AD12" s="51">
        <f>Projet!$C$30*12</f>
        <v>600</v>
      </c>
      <c r="AE12" s="51">
        <f>Projet!$C$30*12</f>
        <v>600</v>
      </c>
    </row>
    <row r="13" spans="1:31" s="20" customFormat="1" ht="16.05" customHeight="1">
      <c r="A13" s="33" t="s">
        <v>71</v>
      </c>
      <c r="B13" s="56">
        <f>Projet!C20</f>
        <v>0</v>
      </c>
      <c r="C13" s="56">
        <f>B13*(1+Projet!$C$21)</f>
        <v>0</v>
      </c>
      <c r="D13" s="56">
        <f>C13*(1+Projet!$C$21)</f>
        <v>0</v>
      </c>
      <c r="E13" s="56">
        <f>D13*(1+Projet!$C$21)</f>
        <v>0</v>
      </c>
      <c r="F13" s="56">
        <f>E13*(1+Projet!$C$21)</f>
        <v>0</v>
      </c>
      <c r="G13" s="56">
        <f>F13*(1+Projet!$C$21)</f>
        <v>0</v>
      </c>
      <c r="H13" s="56">
        <f>G13*(1+Projet!$C$21)</f>
        <v>0</v>
      </c>
      <c r="I13" s="56">
        <f>H13*(1+Projet!$C$21)</f>
        <v>0</v>
      </c>
      <c r="J13" s="56">
        <f>I13*(1+Projet!$C$21)</f>
        <v>0</v>
      </c>
      <c r="K13" s="56">
        <f>J13*(1+Projet!$C$21)</f>
        <v>0</v>
      </c>
      <c r="L13" s="56">
        <f>K13*(1+Projet!$C$21)</f>
        <v>0</v>
      </c>
      <c r="M13" s="56">
        <f>L13*(1+Projet!$C$21)</f>
        <v>0</v>
      </c>
      <c r="N13" s="56">
        <f>M13*(1+Projet!$C$21)</f>
        <v>0</v>
      </c>
      <c r="O13" s="56">
        <f>N13*(1+Projet!$C$21)</f>
        <v>0</v>
      </c>
      <c r="P13" s="56">
        <f>O13*(1+Projet!$C$21)</f>
        <v>0</v>
      </c>
      <c r="Q13" s="56">
        <f>P13*(1+Projet!$C$21)</f>
        <v>0</v>
      </c>
      <c r="R13" s="56">
        <f>Q13*(1+Projet!$C$21)</f>
        <v>0</v>
      </c>
      <c r="S13" s="56">
        <f>R13*(1+Projet!$C$21)</f>
        <v>0</v>
      </c>
      <c r="T13" s="56">
        <f>S13*(1+Projet!$C$21)</f>
        <v>0</v>
      </c>
      <c r="U13" s="56">
        <f>T13*(1+Projet!$C$21)</f>
        <v>0</v>
      </c>
      <c r="V13" s="56">
        <f>U13*(1+Projet!$C$21)</f>
        <v>0</v>
      </c>
      <c r="W13" s="56">
        <f>V13*(1+Projet!$C$21)</f>
        <v>0</v>
      </c>
      <c r="X13" s="56">
        <f>W13*(1+Projet!$C$21)</f>
        <v>0</v>
      </c>
      <c r="Y13" s="56">
        <f>X13*(1+Projet!$C$21)</f>
        <v>0</v>
      </c>
      <c r="Z13" s="56">
        <f>Y13*(1+Projet!$C$21)</f>
        <v>0</v>
      </c>
      <c r="AA13" s="56">
        <f>Z13*(1+Projet!$C$21)</f>
        <v>0</v>
      </c>
      <c r="AB13" s="56">
        <f>AA13*(1+Projet!$C$21)</f>
        <v>0</v>
      </c>
      <c r="AC13" s="56">
        <f>AB13*(1+Projet!$C$21)</f>
        <v>0</v>
      </c>
      <c r="AD13" s="56">
        <f>AC13*(1+Projet!$C$21)</f>
        <v>0</v>
      </c>
      <c r="AE13" s="56">
        <f>AD13*(1+Projet!$C$21)</f>
        <v>0</v>
      </c>
    </row>
    <row r="14" spans="1:31" s="20" customFormat="1" ht="16.05" customHeight="1">
      <c r="A14" s="32" t="s">
        <v>113</v>
      </c>
      <c r="B14" s="57">
        <f>B8*Projet!$C$58</f>
        <v>0</v>
      </c>
      <c r="C14" s="57">
        <f>C8*Projet!$C$58</f>
        <v>0</v>
      </c>
      <c r="D14" s="57">
        <f>D8*Projet!$C$58</f>
        <v>0</v>
      </c>
      <c r="E14" s="57">
        <f>E8*Projet!$C$58</f>
        <v>0</v>
      </c>
      <c r="F14" s="57">
        <f>F8*Projet!$C$58</f>
        <v>0</v>
      </c>
      <c r="G14" s="57">
        <f>G8*Projet!$C$58</f>
        <v>0</v>
      </c>
      <c r="H14" s="57">
        <f>H8*Projet!$C$58</f>
        <v>0</v>
      </c>
      <c r="I14" s="57">
        <f>I8*Projet!$C$58</f>
        <v>0</v>
      </c>
      <c r="J14" s="57">
        <f>J8*Projet!$C$58</f>
        <v>0</v>
      </c>
      <c r="K14" s="57">
        <f>K8*Projet!$C$58</f>
        <v>0</v>
      </c>
      <c r="L14" s="57">
        <f>L8*Projet!$C$58</f>
        <v>0</v>
      </c>
      <c r="M14" s="57">
        <f>M8*Projet!$C$58</f>
        <v>0</v>
      </c>
      <c r="N14" s="57">
        <f>N8*Projet!$C$58</f>
        <v>0</v>
      </c>
      <c r="O14" s="57">
        <f>O8*Projet!$C$58</f>
        <v>0</v>
      </c>
      <c r="P14" s="57">
        <f>P8*Projet!$C$58</f>
        <v>0</v>
      </c>
      <c r="Q14" s="57">
        <f>Q8*Projet!$C$58</f>
        <v>0</v>
      </c>
      <c r="R14" s="57">
        <f>R8*Projet!$C$58</f>
        <v>0</v>
      </c>
      <c r="S14" s="57">
        <f>S8*Projet!$C$58</f>
        <v>0</v>
      </c>
      <c r="T14" s="57">
        <f>T8*Projet!$C$58</f>
        <v>0</v>
      </c>
      <c r="U14" s="57">
        <f>U8*Projet!$C$58</f>
        <v>0</v>
      </c>
      <c r="V14" s="57">
        <f>V8*Projet!$C$58</f>
        <v>0</v>
      </c>
      <c r="W14" s="57">
        <f>W8*Projet!$C$58</f>
        <v>0</v>
      </c>
      <c r="X14" s="57">
        <f>X8*Projet!$C$58</f>
        <v>0</v>
      </c>
      <c r="Y14" s="57">
        <f>Y8*Projet!$C$58</f>
        <v>0</v>
      </c>
      <c r="Z14" s="57">
        <f>Z8*Projet!$C$58</f>
        <v>0</v>
      </c>
      <c r="AA14" s="57">
        <f>AA8*Projet!$C$58</f>
        <v>0</v>
      </c>
      <c r="AB14" s="57">
        <f>AB8*Projet!$C$58</f>
        <v>0</v>
      </c>
      <c r="AC14" s="57">
        <f>AC8*Projet!$C$58</f>
        <v>0</v>
      </c>
      <c r="AD14" s="57">
        <f>AD8*Projet!$C$58</f>
        <v>0</v>
      </c>
      <c r="AE14" s="57">
        <f>AE8*Projet!$C$58</f>
        <v>0</v>
      </c>
    </row>
    <row r="15" spans="1:31" s="20" customFormat="1" ht="16.05" customHeight="1">
      <c r="A15" s="33" t="s">
        <v>72</v>
      </c>
      <c r="B15" s="56">
        <f>Projet!C19</f>
        <v>1000</v>
      </c>
      <c r="C15" s="56">
        <f>B15*(1+Projet!$C$21)</f>
        <v>1004.9999999999999</v>
      </c>
      <c r="D15" s="56">
        <f>C15*(1+Projet!$C$21)</f>
        <v>1010.0249999999997</v>
      </c>
      <c r="E15" s="56">
        <f>D15*(1+Projet!$C$21)</f>
        <v>1015.0751249999996</v>
      </c>
      <c r="F15" s="56">
        <f>E15*(1+Projet!$C$21)</f>
        <v>1020.1505006249995</v>
      </c>
      <c r="G15" s="56">
        <f>F15*(1+Projet!$C$21)</f>
        <v>1025.2512531281243</v>
      </c>
      <c r="H15" s="56">
        <f>G15*(1+Projet!$C$21)</f>
        <v>1030.3775093937647</v>
      </c>
      <c r="I15" s="56">
        <f>H15*(1+Projet!$C$21)</f>
        <v>1035.5293969407335</v>
      </c>
      <c r="J15" s="56">
        <f>I15*(1+Projet!$C$21)</f>
        <v>1040.7070439254371</v>
      </c>
      <c r="K15" s="56">
        <f>J15*(1+Projet!$C$21)</f>
        <v>1045.9105791450643</v>
      </c>
      <c r="L15" s="56">
        <f>K15*(1+Projet!$C$21)</f>
        <v>1051.1401320407895</v>
      </c>
      <c r="M15" s="56">
        <f>L15*(1+Projet!$C$21)</f>
        <v>1056.3958327009932</v>
      </c>
      <c r="N15" s="56">
        <f>M15*(1+Projet!$C$21)</f>
        <v>1061.6778118644982</v>
      </c>
      <c r="O15" s="56">
        <f>N15*(1+Projet!$C$21)</f>
        <v>1066.9862009238204</v>
      </c>
      <c r="P15" s="56">
        <f>O15*(1+Projet!$C$21)</f>
        <v>1072.3211319284394</v>
      </c>
      <c r="Q15" s="56">
        <f>P15*(1+Projet!$C$21)</f>
        <v>1077.6827375880814</v>
      </c>
      <c r="R15" s="56">
        <f>Q15*(1+Projet!$C$21)</f>
        <v>1083.0711512760217</v>
      </c>
      <c r="S15" s="56">
        <f>R15*(1+Projet!$C$21)</f>
        <v>1088.4865070324017</v>
      </c>
      <c r="T15" s="56">
        <f>S15*(1+Projet!$C$21)</f>
        <v>1093.9289395675637</v>
      </c>
      <c r="U15" s="56">
        <f>T15*(1+Projet!$C$21)</f>
        <v>1099.3985842654015</v>
      </c>
      <c r="V15" s="56">
        <f>U15*(1+Projet!$C$21)</f>
        <v>1104.8955771867284</v>
      </c>
      <c r="W15" s="56">
        <f>V15*(1+Projet!$C$21)</f>
        <v>1110.4200550726619</v>
      </c>
      <c r="X15" s="56">
        <f>W15*(1+Projet!$C$21)</f>
        <v>1115.9721553480251</v>
      </c>
      <c r="Y15" s="56">
        <f>X15*(1+Projet!$C$21)</f>
        <v>1121.552016124765</v>
      </c>
      <c r="Z15" s="56">
        <f>Y15*(1+Projet!$C$21)</f>
        <v>1127.1597762053887</v>
      </c>
      <c r="AA15" s="56">
        <f>Z15*(1+Projet!$C$21)</f>
        <v>1132.7955750864155</v>
      </c>
      <c r="AB15" s="56">
        <f>AA15*(1+Projet!$C$21)</f>
        <v>1138.4595529618475</v>
      </c>
      <c r="AC15" s="56">
        <f>AB15*(1+Projet!$C$21)</f>
        <v>1144.1518507266567</v>
      </c>
      <c r="AD15" s="56">
        <f>AC15*(1+Projet!$C$21)</f>
        <v>1149.8726099802898</v>
      </c>
      <c r="AE15" s="56">
        <f>AD15*(1+Projet!$C$21)</f>
        <v>1155.6219730301912</v>
      </c>
    </row>
    <row r="16" spans="1:31" s="20" customFormat="1" ht="16.05" customHeight="1">
      <c r="A16" s="32" t="s">
        <v>73</v>
      </c>
      <c r="B16" s="51">
        <f>Projet!C18</f>
        <v>0</v>
      </c>
      <c r="C16" s="51">
        <f>B16*(1+Projet!$C$21)</f>
        <v>0</v>
      </c>
      <c r="D16" s="51">
        <f>C16*(1+Projet!$C$21)</f>
        <v>0</v>
      </c>
      <c r="E16" s="51">
        <f>D16*(1+Projet!$C$21)</f>
        <v>0</v>
      </c>
      <c r="F16" s="51">
        <f>E16*(1+Projet!$C$21)</f>
        <v>0</v>
      </c>
      <c r="G16" s="51">
        <f>F16*(1+Projet!$C$21)</f>
        <v>0</v>
      </c>
      <c r="H16" s="51">
        <f>G16*(1+Projet!$C$21)</f>
        <v>0</v>
      </c>
      <c r="I16" s="51">
        <f>H16*(1+Projet!$C$21)</f>
        <v>0</v>
      </c>
      <c r="J16" s="51">
        <f>I16*(1+Projet!$C$21)</f>
        <v>0</v>
      </c>
      <c r="K16" s="51">
        <f>J16*(1+Projet!$C$21)</f>
        <v>0</v>
      </c>
      <c r="L16" s="51">
        <f>K16*(1+Projet!$C$21)</f>
        <v>0</v>
      </c>
      <c r="M16" s="51">
        <f>L16*(1+Projet!$C$21)</f>
        <v>0</v>
      </c>
      <c r="N16" s="51">
        <f>M16*(1+Projet!$C$21)</f>
        <v>0</v>
      </c>
      <c r="O16" s="51">
        <f>N16*(1+Projet!$C$21)</f>
        <v>0</v>
      </c>
      <c r="P16" s="51">
        <f>O16*(1+Projet!$C$21)</f>
        <v>0</v>
      </c>
      <c r="Q16" s="51">
        <f>P16*(1+Projet!$C$21)</f>
        <v>0</v>
      </c>
      <c r="R16" s="51">
        <f>Q16*(1+Projet!$C$21)</f>
        <v>0</v>
      </c>
      <c r="S16" s="51">
        <f>R16*(1+Projet!$C$21)</f>
        <v>0</v>
      </c>
      <c r="T16" s="51">
        <f>S16*(1+Projet!$C$21)</f>
        <v>0</v>
      </c>
      <c r="U16" s="51">
        <f>T16*(1+Projet!$C$21)</f>
        <v>0</v>
      </c>
      <c r="V16" s="51">
        <f>U16*(1+Projet!$C$21)</f>
        <v>0</v>
      </c>
      <c r="W16" s="51">
        <f>V16*(1+Projet!$C$21)</f>
        <v>0</v>
      </c>
      <c r="X16" s="51">
        <f>W16*(1+Projet!$C$21)</f>
        <v>0</v>
      </c>
      <c r="Y16" s="51">
        <f>X16*(1+Projet!$C$21)</f>
        <v>0</v>
      </c>
      <c r="Z16" s="51">
        <f>Y16*(1+Projet!$C$21)</f>
        <v>0</v>
      </c>
      <c r="AA16" s="51">
        <f>Z16*(1+Projet!$C$21)</f>
        <v>0</v>
      </c>
      <c r="AB16" s="51">
        <f>AA16*(1+Projet!$C$21)</f>
        <v>0</v>
      </c>
      <c r="AC16" s="51">
        <f>AB16*(1+Projet!$C$21)</f>
        <v>0</v>
      </c>
      <c r="AD16" s="51">
        <f>AC16*(1+Projet!$C$21)</f>
        <v>0</v>
      </c>
      <c r="AE16" s="51">
        <f>AD16*(1+Projet!$C$21)</f>
        <v>0</v>
      </c>
    </row>
    <row r="17" spans="1:31" s="20" customFormat="1" ht="16.05" customHeight="1">
      <c r="A17" s="33" t="s">
        <v>85</v>
      </c>
      <c r="B17" s="56">
        <f>($B$3*0.8)/25</f>
        <v>7552.249600000001</v>
      </c>
      <c r="C17" s="56">
        <f t="shared" ref="C17:Z17" si="3">($B$3*0.8)/25</f>
        <v>7552.249600000001</v>
      </c>
      <c r="D17" s="56">
        <f t="shared" si="3"/>
        <v>7552.249600000001</v>
      </c>
      <c r="E17" s="56">
        <f t="shared" si="3"/>
        <v>7552.249600000001</v>
      </c>
      <c r="F17" s="56">
        <f t="shared" si="3"/>
        <v>7552.249600000001</v>
      </c>
      <c r="G17" s="56">
        <f t="shared" si="3"/>
        <v>7552.249600000001</v>
      </c>
      <c r="H17" s="56">
        <f t="shared" si="3"/>
        <v>7552.249600000001</v>
      </c>
      <c r="I17" s="56">
        <f t="shared" si="3"/>
        <v>7552.249600000001</v>
      </c>
      <c r="J17" s="56">
        <f t="shared" si="3"/>
        <v>7552.249600000001</v>
      </c>
      <c r="K17" s="56">
        <f t="shared" si="3"/>
        <v>7552.249600000001</v>
      </c>
      <c r="L17" s="56">
        <f t="shared" si="3"/>
        <v>7552.249600000001</v>
      </c>
      <c r="M17" s="56">
        <f t="shared" si="3"/>
        <v>7552.249600000001</v>
      </c>
      <c r="N17" s="56">
        <f t="shared" si="3"/>
        <v>7552.249600000001</v>
      </c>
      <c r="O17" s="56">
        <f t="shared" si="3"/>
        <v>7552.249600000001</v>
      </c>
      <c r="P17" s="56">
        <f t="shared" si="3"/>
        <v>7552.249600000001</v>
      </c>
      <c r="Q17" s="56">
        <f t="shared" si="3"/>
        <v>7552.249600000001</v>
      </c>
      <c r="R17" s="56">
        <f t="shared" si="3"/>
        <v>7552.249600000001</v>
      </c>
      <c r="S17" s="56">
        <f t="shared" si="3"/>
        <v>7552.249600000001</v>
      </c>
      <c r="T17" s="56">
        <f t="shared" si="3"/>
        <v>7552.249600000001</v>
      </c>
      <c r="U17" s="56">
        <f t="shared" si="3"/>
        <v>7552.249600000001</v>
      </c>
      <c r="V17" s="56">
        <f t="shared" si="3"/>
        <v>7552.249600000001</v>
      </c>
      <c r="W17" s="56">
        <f t="shared" si="3"/>
        <v>7552.249600000001</v>
      </c>
      <c r="X17" s="56">
        <f t="shared" si="3"/>
        <v>7552.249600000001</v>
      </c>
      <c r="Y17" s="56">
        <f t="shared" si="3"/>
        <v>7552.249600000001</v>
      </c>
      <c r="Z17" s="56">
        <f t="shared" si="3"/>
        <v>7552.249600000001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</row>
    <row r="18" spans="1:31" s="20" customFormat="1" ht="16.05" customHeight="1">
      <c r="A18" s="32" t="s">
        <v>105</v>
      </c>
      <c r="B18" s="51">
        <f ca="1">B8-B9-B12-B13-B14-B15-B16</f>
        <v>-16327.914652724703</v>
      </c>
      <c r="C18" s="51">
        <f t="shared" ref="C18:AE18" ca="1" si="4">C8-C9-C12-C13-C14-C15-C16</f>
        <v>-16332.914652724703</v>
      </c>
      <c r="D18" s="51">
        <f t="shared" ca="1" si="4"/>
        <v>-16337.939652724703</v>
      </c>
      <c r="E18" s="51">
        <f t="shared" ca="1" si="4"/>
        <v>-16342.989777724702</v>
      </c>
      <c r="F18" s="51">
        <f t="shared" ca="1" si="4"/>
        <v>-16348.065153349702</v>
      </c>
      <c r="G18" s="51">
        <f t="shared" ca="1" si="4"/>
        <v>-16353.165905852828</v>
      </c>
      <c r="H18" s="51">
        <f t="shared" ca="1" si="4"/>
        <v>-16358.292162118469</v>
      </c>
      <c r="I18" s="51">
        <f t="shared" ca="1" si="4"/>
        <v>-16363.444049665437</v>
      </c>
      <c r="J18" s="51">
        <f t="shared" ca="1" si="4"/>
        <v>-16368.62169665014</v>
      </c>
      <c r="K18" s="51">
        <f t="shared" ca="1" si="4"/>
        <v>-16373.825231869767</v>
      </c>
      <c r="L18" s="51">
        <f t="shared" ca="1" si="4"/>
        <v>-16379.054784765493</v>
      </c>
      <c r="M18" s="51">
        <f t="shared" ca="1" si="4"/>
        <v>-16384.310485425696</v>
      </c>
      <c r="N18" s="51">
        <f t="shared" ca="1" si="4"/>
        <v>-16389.592464589201</v>
      </c>
      <c r="O18" s="51">
        <f t="shared" ca="1" si="4"/>
        <v>-16394.900853648523</v>
      </c>
      <c r="P18" s="51">
        <f t="shared" ca="1" si="4"/>
        <v>-16400.235784653141</v>
      </c>
      <c r="Q18" s="51">
        <f t="shared" ca="1" si="4"/>
        <v>-16405.597390312785</v>
      </c>
      <c r="R18" s="51">
        <f t="shared" ca="1" si="4"/>
        <v>-16410.985804000724</v>
      </c>
      <c r="S18" s="51">
        <f t="shared" ca="1" si="4"/>
        <v>-16416.401159757104</v>
      </c>
      <c r="T18" s="51">
        <f t="shared" ca="1" si="4"/>
        <v>-16421.843592292265</v>
      </c>
      <c r="U18" s="51">
        <f t="shared" ca="1" si="4"/>
        <v>-16427.313236990103</v>
      </c>
      <c r="V18" s="51">
        <f t="shared" ca="1" si="4"/>
        <v>-16432.810229911433</v>
      </c>
      <c r="W18" s="51">
        <f t="shared" ca="1" si="4"/>
        <v>-16438.334707797367</v>
      </c>
      <c r="X18" s="51">
        <f t="shared" ca="1" si="4"/>
        <v>-16443.88680807273</v>
      </c>
      <c r="Y18" s="51">
        <f t="shared" ca="1" si="4"/>
        <v>-16449.466668849469</v>
      </c>
      <c r="Z18" s="51">
        <f t="shared" ca="1" si="4"/>
        <v>-16455.074428930093</v>
      </c>
      <c r="AA18" s="51">
        <f t="shared" ca="1" si="4"/>
        <v>-16460.71022781112</v>
      </c>
      <c r="AB18" s="51">
        <f t="shared" ca="1" si="4"/>
        <v>-16466.374205686552</v>
      </c>
      <c r="AC18" s="51">
        <f t="shared" ca="1" si="4"/>
        <v>-16472.066503451359</v>
      </c>
      <c r="AD18" s="51">
        <f t="shared" ca="1" si="4"/>
        <v>-16477.787262704995</v>
      </c>
      <c r="AE18" s="51">
        <f t="shared" ca="1" si="4"/>
        <v>-16483.536625754896</v>
      </c>
    </row>
    <row r="19" spans="1:31" s="25" customFormat="1" ht="15" customHeight="1">
      <c r="A19" s="34" t="s">
        <v>26</v>
      </c>
      <c r="B19" s="105">
        <f>(B8-B13-B14-B15-B16)/$B$3</f>
        <v>-4.2371480942579014E-3</v>
      </c>
      <c r="C19" s="105">
        <f t="shared" ref="C19:AE19" si="5">(C8-C12-C13-C14-C15-C16)/$B$3</f>
        <v>-6.8006226912839312E-3</v>
      </c>
      <c r="D19" s="105">
        <f t="shared" si="5"/>
        <v>-6.8219143604575762E-3</v>
      </c>
      <c r="E19" s="105">
        <f t="shared" si="5"/>
        <v>-6.84331248797709E-3</v>
      </c>
      <c r="F19" s="105">
        <f t="shared" si="5"/>
        <v>-6.8648176061342015E-3</v>
      </c>
      <c r="G19" s="105">
        <f t="shared" si="5"/>
        <v>-6.8864302498820975E-3</v>
      </c>
      <c r="H19" s="105">
        <f t="shared" si="5"/>
        <v>-6.908150956848734E-3</v>
      </c>
      <c r="I19" s="105">
        <f t="shared" si="5"/>
        <v>-6.9299802673502033E-3</v>
      </c>
      <c r="J19" s="105">
        <f t="shared" si="5"/>
        <v>-6.9519187244041804E-3</v>
      </c>
      <c r="K19" s="105">
        <f t="shared" si="5"/>
        <v>-6.9739668737434281E-3</v>
      </c>
      <c r="L19" s="105">
        <f t="shared" si="5"/>
        <v>-6.9961252638293704E-3</v>
      </c>
      <c r="M19" s="105">
        <f t="shared" si="5"/>
        <v>-7.0183944458657426E-3</v>
      </c>
      <c r="N19" s="105">
        <f t="shared" si="5"/>
        <v>-7.0407749738122978E-3</v>
      </c>
      <c r="O19" s="105">
        <f t="shared" si="5"/>
        <v>-7.0632674043985847E-3</v>
      </c>
      <c r="P19" s="105">
        <f t="shared" si="5"/>
        <v>-7.0858722971378031E-3</v>
      </c>
      <c r="Q19" s="105">
        <f t="shared" si="5"/>
        <v>-7.1085902143407176E-3</v>
      </c>
      <c r="R19" s="105">
        <f t="shared" si="5"/>
        <v>-7.1314217211296471E-3</v>
      </c>
      <c r="S19" s="105">
        <f t="shared" si="5"/>
        <v>-7.1543673854525215E-3</v>
      </c>
      <c r="T19" s="105">
        <f t="shared" si="5"/>
        <v>-7.1774277780970105E-3</v>
      </c>
      <c r="U19" s="105">
        <f t="shared" si="5"/>
        <v>-7.2006034727047216E-3</v>
      </c>
      <c r="V19" s="105">
        <f t="shared" si="5"/>
        <v>-7.223895045785471E-3</v>
      </c>
      <c r="W19" s="105">
        <f t="shared" si="5"/>
        <v>-7.2473030767316237E-3</v>
      </c>
      <c r="X19" s="105">
        <f t="shared" si="5"/>
        <v>-7.2708281478325084E-3</v>
      </c>
      <c r="Y19" s="105">
        <f t="shared" si="5"/>
        <v>-7.2944708442888957E-3</v>
      </c>
      <c r="Z19" s="105">
        <f t="shared" si="5"/>
        <v>-7.3182317542275655E-3</v>
      </c>
      <c r="AA19" s="105">
        <f t="shared" si="5"/>
        <v>-7.3421114687159299E-3</v>
      </c>
      <c r="AB19" s="105">
        <f t="shared" si="5"/>
        <v>-7.3661105817767357E-3</v>
      </c>
      <c r="AC19" s="105">
        <f t="shared" si="5"/>
        <v>-7.390229690402845E-3</v>
      </c>
      <c r="AD19" s="105">
        <f t="shared" si="5"/>
        <v>-7.414469394572085E-3</v>
      </c>
      <c r="AE19" s="105">
        <f t="shared" si="5"/>
        <v>-7.438830297262171E-3</v>
      </c>
    </row>
    <row r="20" spans="1:31" s="20" customFormat="1" ht="41" customHeight="1">
      <c r="A20" s="82" t="s">
        <v>66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s="20" customFormat="1" ht="16.05" customHeight="1">
      <c r="A21" s="30" t="s">
        <v>74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s="20" customFormat="1" ht="16.05" customHeight="1">
      <c r="A22" s="31" t="s">
        <v>109</v>
      </c>
      <c r="B22" s="52">
        <v>165</v>
      </c>
      <c r="C22" s="52">
        <f>B22*(1+Projet!$C$21)</f>
        <v>165.82499999999999</v>
      </c>
      <c r="D22" s="52">
        <f>C22*(1+Projet!$C$21)</f>
        <v>166.65412499999996</v>
      </c>
      <c r="E22" s="52">
        <f>D22*(1+Projet!$C$21)</f>
        <v>167.48739562499995</v>
      </c>
      <c r="F22" s="52">
        <f>E22*(1+Projet!$C$21)</f>
        <v>168.32483260312492</v>
      </c>
      <c r="G22" s="52">
        <f>F22*(1+Projet!$C$21)</f>
        <v>169.16645676614053</v>
      </c>
      <c r="H22" s="52">
        <f>G22*(1+Projet!$C$21)</f>
        <v>170.0122890499712</v>
      </c>
      <c r="I22" s="52">
        <f>H22*(1+Projet!$C$21)</f>
        <v>170.86235049522105</v>
      </c>
      <c r="J22" s="52">
        <f>I22*(1+Projet!$C$21)</f>
        <v>171.71666224769714</v>
      </c>
      <c r="K22" s="52">
        <f>J22*(1+Projet!$C$21)</f>
        <v>172.57524555893562</v>
      </c>
      <c r="L22" s="52">
        <f>K22*(1+Projet!$C$21)</f>
        <v>173.43812178673028</v>
      </c>
      <c r="M22" s="52">
        <f>L22*(1+Projet!$C$21)</f>
        <v>174.30531239566392</v>
      </c>
      <c r="N22" s="52">
        <f>M22*(1+Projet!$C$21)</f>
        <v>175.17683895764222</v>
      </c>
      <c r="O22" s="52">
        <f>N22*(1+Projet!$C$21)</f>
        <v>176.05272315243042</v>
      </c>
      <c r="P22" s="52">
        <f>O22*(1+Projet!$C$21)</f>
        <v>176.93298676819256</v>
      </c>
      <c r="Q22" s="52">
        <f>P22*(1+Projet!$C$21)</f>
        <v>177.81765170203352</v>
      </c>
      <c r="R22" s="52">
        <f>Q22*(1+Projet!$C$21)</f>
        <v>178.70673996054367</v>
      </c>
      <c r="S22" s="52">
        <f>R22*(1+Projet!$C$21)</f>
        <v>179.60027366034637</v>
      </c>
      <c r="T22" s="52">
        <f>S22*(1+Projet!$C$21)</f>
        <v>180.4982750286481</v>
      </c>
      <c r="U22" s="52">
        <f>T22*(1+Projet!$C$21)</f>
        <v>181.40076640379132</v>
      </c>
      <c r="V22" s="52">
        <f>U22*(1+Projet!$C$21)</f>
        <v>182.30777023581027</v>
      </c>
      <c r="W22" s="52">
        <f>V22*(1+Projet!$C$21)</f>
        <v>183.21930908698931</v>
      </c>
      <c r="X22" s="52">
        <f>W22*(1+Projet!$C$21)</f>
        <v>184.13540563242424</v>
      </c>
      <c r="Y22" s="52">
        <f>X22*(1+Projet!$C$21)</f>
        <v>185.05608266058633</v>
      </c>
      <c r="Z22" s="52">
        <f>Y22*(1+Projet!$C$21)</f>
        <v>185.98136307388924</v>
      </c>
      <c r="AA22" s="52">
        <f>Z22*(1+Projet!$C$21)</f>
        <v>186.91126988925868</v>
      </c>
      <c r="AB22" s="52">
        <f>AA22*(1+Projet!$C$21)</f>
        <v>187.84582623870494</v>
      </c>
      <c r="AC22" s="52">
        <f>AB22*(1+Projet!$C$21)</f>
        <v>188.78505536989846</v>
      </c>
      <c r="AD22" s="52">
        <f>AC22*(1+Projet!$C$21)</f>
        <v>189.72898064674794</v>
      </c>
      <c r="AE22" s="52">
        <f>AD22*(1+Projet!$C$21)</f>
        <v>190.67762554998166</v>
      </c>
    </row>
    <row r="23" spans="1:31" s="20" customFormat="1" ht="16.05" customHeight="1">
      <c r="A23" s="32" t="s">
        <v>81</v>
      </c>
      <c r="B23" s="51">
        <f ca="1">B8-B11-B12-B13-B14-B15-B16-B17-B22</f>
        <v>-18517.438638859639</v>
      </c>
      <c r="C23" s="51">
        <f t="shared" ref="C23:AE23" ca="1" si="6">C8-C11-C12-C13-C14-C15-C16-C17-C22+(IF(B23&lt;0,B23,0))</f>
        <v>-36815.49420737318</v>
      </c>
      <c r="D23" s="51">
        <f t="shared" ca="1" si="6"/>
        <v>-54885.02050627672</v>
      </c>
      <c r="E23" s="51">
        <f t="shared" ca="1" si="6"/>
        <v>-72716.497665064089</v>
      </c>
      <c r="F23" s="51">
        <f t="shared" ca="1" si="6"/>
        <v>-90300.016912838968</v>
      </c>
      <c r="G23" s="51">
        <f t="shared" ca="1" si="6"/>
        <v>-107625.2647286821</v>
      </c>
      <c r="H23" s="51">
        <f t="shared" ca="1" si="6"/>
        <v>-124681.50634625384</v>
      </c>
      <c r="I23" s="51">
        <f t="shared" ca="1" si="6"/>
        <v>-141457.56858632239</v>
      </c>
      <c r="J23" s="51">
        <f t="shared" ca="1" si="6"/>
        <v>-157941.82198983649</v>
      </c>
      <c r="K23" s="51">
        <f t="shared" ca="1" si="6"/>
        <v>-174122.16222304516</v>
      </c>
      <c r="L23" s="51">
        <f t="shared" ca="1" si="6"/>
        <v>-189985.99072500688</v>
      </c>
      <c r="M23" s="51">
        <f t="shared" ca="1" si="6"/>
        <v>-205520.19456662142</v>
      </c>
      <c r="N23" s="51">
        <f t="shared" ca="1" si="6"/>
        <v>-220711.12548906071</v>
      </c>
      <c r="O23" s="51">
        <f t="shared" ca="1" si="6"/>
        <v>-235544.57808816602</v>
      </c>
      <c r="P23" s="51">
        <f t="shared" ca="1" si="6"/>
        <v>-250005.76711001637</v>
      </c>
      <c r="Q23" s="51">
        <f t="shared" ca="1" si="6"/>
        <v>-264079.30382145627</v>
      </c>
      <c r="R23" s="51">
        <f t="shared" ca="1" si="6"/>
        <v>-277749.17141789471</v>
      </c>
      <c r="S23" s="51">
        <f t="shared" ca="1" si="6"/>
        <v>-290998.69942915218</v>
      </c>
      <c r="T23" s="51">
        <f t="shared" ca="1" si="6"/>
        <v>-303810.53708253492</v>
      </c>
      <c r="U23" s="51">
        <f t="shared" ca="1" si="6"/>
        <v>-316166.62558065145</v>
      </c>
      <c r="V23" s="51">
        <f t="shared" ca="1" si="6"/>
        <v>-328048.1692497569</v>
      </c>
      <c r="W23" s="51">
        <f t="shared" ca="1" si="6"/>
        <v>-339435.60551260796</v>
      </c>
      <c r="X23" s="51">
        <f t="shared" ca="1" si="6"/>
        <v>-350308.57363793725</v>
      </c>
      <c r="Y23" s="51">
        <f t="shared" ca="1" si="6"/>
        <v>-360645.88221670483</v>
      </c>
      <c r="Z23" s="51">
        <f t="shared" ca="1" si="6"/>
        <v>-370425.47531325306</v>
      </c>
      <c r="AA23" s="51">
        <f t="shared" ca="1" si="6"/>
        <v>-372345.18215822871</v>
      </c>
      <c r="AB23" s="51">
        <f t="shared" ca="1" si="6"/>
        <v>-374271.48753742926</v>
      </c>
      <c r="AC23" s="51">
        <f t="shared" ca="1" si="6"/>
        <v>-376204.42444352584</v>
      </c>
      <c r="AD23" s="51">
        <f t="shared" ca="1" si="6"/>
        <v>-378144.02603415289</v>
      </c>
      <c r="AE23" s="51">
        <f t="shared" ca="1" si="6"/>
        <v>-380090.32563273306</v>
      </c>
    </row>
    <row r="24" spans="1:31" s="20" customFormat="1" ht="16.05" customHeight="1">
      <c r="A24" s="38" t="s">
        <v>65</v>
      </c>
      <c r="B24" s="73">
        <f ca="1">IF(B23&gt;0,B23*Projet!$C$4+B23*0.172,0)</f>
        <v>0</v>
      </c>
      <c r="C24" s="73">
        <f ca="1">IF(C23&gt;0,C23*Projet!$C$4+C23*0.172,0)</f>
        <v>0</v>
      </c>
      <c r="D24" s="73">
        <f ca="1">IF(D23&gt;0,D23*Projet!$C$4+D23*0.172,0)</f>
        <v>0</v>
      </c>
      <c r="E24" s="73">
        <f ca="1">IF(E23&gt;0,E23*Projet!$C$4+E23*0.172,0)</f>
        <v>0</v>
      </c>
      <c r="F24" s="73">
        <f ca="1">IF(F23&gt;0,F23*Projet!$C$4+F23*0.172,0)</f>
        <v>0</v>
      </c>
      <c r="G24" s="73">
        <f ca="1">IF(G23&gt;0,G23*Projet!$C$4+G23*0.172,0)</f>
        <v>0</v>
      </c>
      <c r="H24" s="73">
        <f ca="1">IF(H23&gt;0,H23*Projet!$C$4+H23*0.172,0)</f>
        <v>0</v>
      </c>
      <c r="I24" s="73">
        <f ca="1">IF(I23&gt;0,I23*Projet!$C$4+I23*0.172,0)</f>
        <v>0</v>
      </c>
      <c r="J24" s="73">
        <f ca="1">IF(J23&gt;0,J23*Projet!$C$4+J23*0.172,0)</f>
        <v>0</v>
      </c>
      <c r="K24" s="73">
        <f ca="1">IF(K23&gt;0,K23*Projet!$C$4+K23*0.172,0)</f>
        <v>0</v>
      </c>
      <c r="L24" s="73">
        <f ca="1">IF(L23&gt;0,L23*Projet!$C$4+L23*0.172,0)</f>
        <v>0</v>
      </c>
      <c r="M24" s="73">
        <f ca="1">IF(M23&gt;0,M23*Projet!$C$4+M23*0.172,0)</f>
        <v>0</v>
      </c>
      <c r="N24" s="73">
        <f ca="1">IF(N23&gt;0,N23*Projet!$C$4+N23*0.172,0)</f>
        <v>0</v>
      </c>
      <c r="O24" s="73">
        <f ca="1">IF(O23&gt;0,O23*Projet!$C$4+O23*0.172,0)</f>
        <v>0</v>
      </c>
      <c r="P24" s="73">
        <f ca="1">IF(P23&gt;0,P23*Projet!$C$4+P23*0.172,0)</f>
        <v>0</v>
      </c>
      <c r="Q24" s="73">
        <f ca="1">IF(Q23&gt;0,Q23*Projet!$C$4+Q23*0.172,0)</f>
        <v>0</v>
      </c>
      <c r="R24" s="73">
        <f ca="1">IF(R23&gt;0,R23*Projet!$C$4+R23*0.172,0)</f>
        <v>0</v>
      </c>
      <c r="S24" s="73">
        <f ca="1">IF(S23&gt;0,S23*Projet!$C$4+S23*0.172,0)</f>
        <v>0</v>
      </c>
      <c r="T24" s="73">
        <f ca="1">IF(T23&gt;0,T23*Projet!$C$4+T23*0.172,0)</f>
        <v>0</v>
      </c>
      <c r="U24" s="73">
        <f ca="1">IF(U23&gt;0,U23*Projet!$C$4+U23*0.172,0)</f>
        <v>0</v>
      </c>
      <c r="V24" s="73">
        <f ca="1">IF(V23&gt;0,V23*Projet!$C$4+V23*0.172,0)</f>
        <v>0</v>
      </c>
      <c r="W24" s="73">
        <f ca="1">IF(W23&gt;0,W23*Projet!$C$4+W23*0.172,0)</f>
        <v>0</v>
      </c>
      <c r="X24" s="73">
        <f ca="1">IF(X23&gt;0,X23*Projet!$C$4+X23*0.172,0)</f>
        <v>0</v>
      </c>
      <c r="Y24" s="73">
        <f ca="1">IF(Y23&gt;0,Y23*Projet!$C$4+Y23*0.172,0)</f>
        <v>0</v>
      </c>
      <c r="Z24" s="73">
        <f ca="1">IF(Z23&gt;0,Z23*Projet!$C$4+Z23*0.172,0)</f>
        <v>0</v>
      </c>
      <c r="AA24" s="73">
        <f ca="1">IF(AA23&gt;0,AA23*Projet!$C$4+AA23*0.172,0)</f>
        <v>0</v>
      </c>
      <c r="AB24" s="73">
        <f ca="1">IF(AB23&gt;0,AB23*Projet!$C$4+AB23*0.172,0)</f>
        <v>0</v>
      </c>
      <c r="AC24" s="73">
        <f ca="1">IF(AC23&gt;0,AC23*Projet!$C$4+AC23*0.172,0)</f>
        <v>0</v>
      </c>
      <c r="AD24" s="73">
        <f ca="1">IF(AD23&gt;0,AD23*Projet!$C$4+AD23*0.172,0)</f>
        <v>0</v>
      </c>
      <c r="AE24" s="73">
        <f ca="1">IF(AE23&gt;0,AE23*Projet!$C$4+AE23*0.172,0)</f>
        <v>0</v>
      </c>
    </row>
    <row r="25" spans="1:31" s="20" customFormat="1" ht="13.05" hidden="1" customHeight="1">
      <c r="A25" s="31" t="s">
        <v>37</v>
      </c>
      <c r="B25" s="54"/>
      <c r="C25" s="54"/>
      <c r="D25" s="54"/>
      <c r="E25" s="54"/>
      <c r="F25" s="52">
        <f ca="1">SUM(B24:F24)</f>
        <v>0</v>
      </c>
      <c r="G25" s="58"/>
      <c r="H25" s="54"/>
      <c r="I25" s="54"/>
      <c r="J25" s="54"/>
      <c r="K25" s="52">
        <f ca="1">SUM(B24:K24)</f>
        <v>0</v>
      </c>
      <c r="L25" s="54"/>
      <c r="M25" s="54"/>
      <c r="N25" s="54"/>
      <c r="O25" s="54"/>
      <c r="P25" s="52">
        <f ca="1">SUM(B24:P24)</f>
        <v>0</v>
      </c>
      <c r="Q25" s="54"/>
      <c r="R25" s="54"/>
      <c r="S25" s="54"/>
      <c r="T25" s="54"/>
      <c r="U25" s="52">
        <f ca="1">SUM(B24:U24)</f>
        <v>0</v>
      </c>
      <c r="V25" s="54"/>
      <c r="W25" s="54"/>
      <c r="X25" s="54"/>
      <c r="Y25" s="54"/>
      <c r="Z25" s="52">
        <f ca="1">SUM(B24:Z24)</f>
        <v>0</v>
      </c>
      <c r="AA25" s="54"/>
      <c r="AB25" s="54"/>
      <c r="AC25" s="54"/>
      <c r="AD25" s="54"/>
      <c r="AE25" s="52">
        <f ca="1">SUM(B24:AE24)</f>
        <v>0</v>
      </c>
    </row>
    <row r="26" spans="1:31" s="20" customFormat="1" ht="16.05" customHeight="1">
      <c r="A26" s="32" t="s">
        <v>110</v>
      </c>
      <c r="B26" s="51">
        <f ca="1">B18-B22-B24</f>
        <v>-16492.914652724703</v>
      </c>
      <c r="C26" s="51">
        <f ca="1">C18-C22-C24</f>
        <v>-16498.739652724704</v>
      </c>
      <c r="D26" s="51">
        <f ca="1">D18-D22-D24</f>
        <v>-16504.593777724702</v>
      </c>
      <c r="E26" s="51">
        <f ca="1">E18-E22-E24</f>
        <v>-16510.477173349704</v>
      </c>
      <c r="F26" s="51">
        <f t="shared" ref="F26:AE26" ca="1" si="7">F18-F22-F24</f>
        <v>-16516.389985952828</v>
      </c>
      <c r="G26" s="51">
        <f t="shared" ca="1" si="7"/>
        <v>-16522.332362618967</v>
      </c>
      <c r="H26" s="51">
        <f t="shared" ca="1" si="7"/>
        <v>-16528.304451168438</v>
      </c>
      <c r="I26" s="51">
        <f t="shared" ca="1" si="7"/>
        <v>-16534.306400160658</v>
      </c>
      <c r="J26" s="51">
        <f t="shared" ca="1" si="7"/>
        <v>-16540.338358897836</v>
      </c>
      <c r="K26" s="51">
        <f t="shared" ca="1" si="7"/>
        <v>-16546.400477428702</v>
      </c>
      <c r="L26" s="51">
        <f t="shared" ca="1" si="7"/>
        <v>-16552.492906552223</v>
      </c>
      <c r="M26" s="51">
        <f t="shared" ca="1" si="7"/>
        <v>-16558.61579782136</v>
      </c>
      <c r="N26" s="51">
        <f t="shared" ca="1" si="7"/>
        <v>-16564.769303546844</v>
      </c>
      <c r="O26" s="51">
        <f t="shared" ca="1" si="7"/>
        <v>-16570.953576800955</v>
      </c>
      <c r="P26" s="51">
        <f t="shared" ca="1" si="7"/>
        <v>-16577.168771421333</v>
      </c>
      <c r="Q26" s="51">
        <f t="shared" ca="1" si="7"/>
        <v>-16583.415042014818</v>
      </c>
      <c r="R26" s="51">
        <f t="shared" ca="1" si="7"/>
        <v>-16589.692543961268</v>
      </c>
      <c r="S26" s="51">
        <f t="shared" ca="1" si="7"/>
        <v>-16596.001433417452</v>
      </c>
      <c r="T26" s="51">
        <f t="shared" ca="1" si="7"/>
        <v>-16602.341867320913</v>
      </c>
      <c r="U26" s="51">
        <f t="shared" ca="1" si="7"/>
        <v>-16608.714003393896</v>
      </c>
      <c r="V26" s="51">
        <f t="shared" ca="1" si="7"/>
        <v>-16615.118000147242</v>
      </c>
      <c r="W26" s="51">
        <f t="shared" ca="1" si="7"/>
        <v>-16621.554016884354</v>
      </c>
      <c r="X26" s="51">
        <f t="shared" ca="1" si="7"/>
        <v>-16628.022213705153</v>
      </c>
      <c r="Y26" s="51">
        <f t="shared" ca="1" si="7"/>
        <v>-16634.522751510056</v>
      </c>
      <c r="Z26" s="51">
        <f t="shared" ca="1" si="7"/>
        <v>-16641.055792003983</v>
      </c>
      <c r="AA26" s="51">
        <f t="shared" ca="1" si="7"/>
        <v>-16647.62149770038</v>
      </c>
      <c r="AB26" s="51">
        <f t="shared" ca="1" si="7"/>
        <v>-16654.220031925259</v>
      </c>
      <c r="AC26" s="51">
        <f t="shared" ca="1" si="7"/>
        <v>-16660.851558821258</v>
      </c>
      <c r="AD26" s="51">
        <f t="shared" ca="1" si="7"/>
        <v>-16667.516243351743</v>
      </c>
      <c r="AE26" s="51">
        <f t="shared" ca="1" si="7"/>
        <v>-16674.214251304878</v>
      </c>
    </row>
    <row r="27" spans="1:31" s="20" customFormat="1" ht="16.05" customHeight="1">
      <c r="A27" s="33" t="s">
        <v>78</v>
      </c>
      <c r="B27" s="56">
        <f ca="1">B26/12</f>
        <v>-1374.4095543937253</v>
      </c>
      <c r="C27" s="56">
        <f t="shared" ref="C27:AE27" ca="1" si="8">C26/12</f>
        <v>-1374.894971060392</v>
      </c>
      <c r="D27" s="56">
        <f t="shared" ca="1" si="8"/>
        <v>-1375.3828148103919</v>
      </c>
      <c r="E27" s="56">
        <f t="shared" ca="1" si="8"/>
        <v>-1375.873097779142</v>
      </c>
      <c r="F27" s="56">
        <f t="shared" ca="1" si="8"/>
        <v>-1376.3658321627356</v>
      </c>
      <c r="G27" s="56">
        <f t="shared" ca="1" si="8"/>
        <v>-1376.8610302182472</v>
      </c>
      <c r="H27" s="56">
        <f t="shared" ca="1" si="8"/>
        <v>-1377.3587042640365</v>
      </c>
      <c r="I27" s="56">
        <f t="shared" ca="1" si="8"/>
        <v>-1377.8588666800549</v>
      </c>
      <c r="J27" s="56">
        <f t="shared" ca="1" si="8"/>
        <v>-1378.361529908153</v>
      </c>
      <c r="K27" s="56">
        <f t="shared" ca="1" si="8"/>
        <v>-1378.8667064523918</v>
      </c>
      <c r="L27" s="56">
        <f t="shared" ca="1" si="8"/>
        <v>-1379.3744088793519</v>
      </c>
      <c r="M27" s="56">
        <f t="shared" ca="1" si="8"/>
        <v>-1379.8846498184466</v>
      </c>
      <c r="N27" s="56">
        <f t="shared" ca="1" si="8"/>
        <v>-1380.3974419622371</v>
      </c>
      <c r="O27" s="56">
        <f t="shared" ca="1" si="8"/>
        <v>-1380.9127980667463</v>
      </c>
      <c r="P27" s="56">
        <f t="shared" ca="1" si="8"/>
        <v>-1381.4307309517778</v>
      </c>
      <c r="Q27" s="56">
        <f t="shared" ca="1" si="8"/>
        <v>-1381.9512535012348</v>
      </c>
      <c r="R27" s="56">
        <f t="shared" ca="1" si="8"/>
        <v>-1382.474378663439</v>
      </c>
      <c r="S27" s="56">
        <f t="shared" ca="1" si="8"/>
        <v>-1383.0001194514543</v>
      </c>
      <c r="T27" s="56">
        <f t="shared" ca="1" si="8"/>
        <v>-1383.5284889434095</v>
      </c>
      <c r="U27" s="56">
        <f t="shared" ca="1" si="8"/>
        <v>-1384.0595002828247</v>
      </c>
      <c r="V27" s="56">
        <f t="shared" ca="1" si="8"/>
        <v>-1384.5931666789368</v>
      </c>
      <c r="W27" s="56">
        <f t="shared" ca="1" si="8"/>
        <v>-1385.1295014070295</v>
      </c>
      <c r="X27" s="56">
        <f t="shared" ca="1" si="8"/>
        <v>-1385.6685178087628</v>
      </c>
      <c r="Y27" s="56">
        <f t="shared" ca="1" si="8"/>
        <v>-1386.2102292925047</v>
      </c>
      <c r="Z27" s="56">
        <f t="shared" ca="1" si="8"/>
        <v>-1386.7546493336652</v>
      </c>
      <c r="AA27" s="56">
        <f t="shared" ca="1" si="8"/>
        <v>-1387.3017914750317</v>
      </c>
      <c r="AB27" s="56">
        <f t="shared" ca="1" si="8"/>
        <v>-1387.8516693271049</v>
      </c>
      <c r="AC27" s="56">
        <f t="shared" ca="1" si="8"/>
        <v>-1388.4042965684382</v>
      </c>
      <c r="AD27" s="56">
        <f t="shared" ca="1" si="8"/>
        <v>-1388.9596869459785</v>
      </c>
      <c r="AE27" s="56">
        <f t="shared" ca="1" si="8"/>
        <v>-1389.5178542754065</v>
      </c>
    </row>
    <row r="28" spans="1:31" s="25" customFormat="1" ht="15" customHeight="1">
      <c r="A28" s="44" t="s">
        <v>54</v>
      </c>
      <c r="B28" s="77">
        <f ca="1">(B8-B13-B14-B15-B16-B22-B24)/$B$3</f>
        <v>-4.9362775298104553E-3</v>
      </c>
      <c r="C28" s="77">
        <f t="shared" ref="C28:AE28" ca="1" si="9">(C8-C13-C14-C15-C16-C22-C24)/$B$3</f>
        <v>-4.9609589174595065E-3</v>
      </c>
      <c r="D28" s="77">
        <f t="shared" ca="1" si="9"/>
        <v>-4.9857637120468033E-3</v>
      </c>
      <c r="E28" s="77">
        <f t="shared" ca="1" si="9"/>
        <v>-5.0106925306070364E-3</v>
      </c>
      <c r="F28" s="77">
        <f t="shared" ca="1" si="9"/>
        <v>-5.0357459932600709E-3</v>
      </c>
      <c r="G28" s="77">
        <f t="shared" ca="1" si="9"/>
        <v>-5.0609247232263708E-3</v>
      </c>
      <c r="H28" s="77">
        <f t="shared" ca="1" si="9"/>
        <v>-5.086229346842502E-3</v>
      </c>
      <c r="I28" s="77">
        <f t="shared" ca="1" si="9"/>
        <v>-5.1116604935767147E-3</v>
      </c>
      <c r="J28" s="77">
        <f t="shared" ca="1" si="9"/>
        <v>-5.1372187960445972E-3</v>
      </c>
      <c r="K28" s="77">
        <f t="shared" ca="1" si="9"/>
        <v>-5.1629048900248206E-3</v>
      </c>
      <c r="L28" s="77">
        <f t="shared" ca="1" si="9"/>
        <v>-5.1887194144749444E-3</v>
      </c>
      <c r="M28" s="77">
        <f t="shared" ca="1" si="9"/>
        <v>-5.2146630115473174E-3</v>
      </c>
      <c r="N28" s="77">
        <f t="shared" ca="1" si="9"/>
        <v>-5.2407363266050548E-3</v>
      </c>
      <c r="O28" s="77">
        <f t="shared" ca="1" si="9"/>
        <v>-5.2669400082380781E-3</v>
      </c>
      <c r="P28" s="77">
        <f t="shared" ca="1" si="9"/>
        <v>-5.2932747082792674E-3</v>
      </c>
      <c r="Q28" s="77">
        <f t="shared" ca="1" si="9"/>
        <v>-5.3197410818206642E-3</v>
      </c>
      <c r="R28" s="77">
        <f t="shared" ca="1" si="9"/>
        <v>-5.3463397872297669E-3</v>
      </c>
      <c r="S28" s="77">
        <f t="shared" ca="1" si="9"/>
        <v>-5.3730714861659149E-3</v>
      </c>
      <c r="T28" s="77">
        <f t="shared" ca="1" si="9"/>
        <v>-5.3999368435967447E-3</v>
      </c>
      <c r="U28" s="77">
        <f t="shared" ca="1" si="9"/>
        <v>-5.4269365278147279E-3</v>
      </c>
      <c r="V28" s="77">
        <f t="shared" ca="1" si="9"/>
        <v>-5.4540712104538007E-3</v>
      </c>
      <c r="W28" s="77">
        <f t="shared" ca="1" si="9"/>
        <v>-5.4813415665060693E-3</v>
      </c>
      <c r="X28" s="77">
        <f t="shared" ca="1" si="9"/>
        <v>-5.5087482743385987E-3</v>
      </c>
      <c r="Y28" s="77">
        <f t="shared" ca="1" si="9"/>
        <v>-5.5362920157102907E-3</v>
      </c>
      <c r="Z28" s="77">
        <f t="shared" ca="1" si="9"/>
        <v>-5.5639734757888422E-3</v>
      </c>
      <c r="AA28" s="77">
        <f t="shared" ca="1" si="9"/>
        <v>-5.5917933431677853E-3</v>
      </c>
      <c r="AB28" s="77">
        <f t="shared" ca="1" si="9"/>
        <v>-5.6197523098836244E-3</v>
      </c>
      <c r="AC28" s="77">
        <f t="shared" ca="1" si="9"/>
        <v>-5.6478510714330415E-3</v>
      </c>
      <c r="AD28" s="77">
        <f t="shared" ca="1" si="9"/>
        <v>-5.676090326790206E-3</v>
      </c>
      <c r="AE28" s="77">
        <f t="shared" ca="1" si="9"/>
        <v>-5.7044707784241573E-3</v>
      </c>
    </row>
    <row r="29" spans="1:31" s="20" customFormat="1" ht="17" hidden="1" customHeight="1">
      <c r="A29" s="31" t="s">
        <v>83</v>
      </c>
      <c r="B29" s="75"/>
      <c r="C29" s="54"/>
      <c r="D29" s="54"/>
      <c r="E29" s="54"/>
      <c r="F29" s="76">
        <f ca="1">AVERAGE(B28:F28)</f>
        <v>-4.9858877366367755E-3</v>
      </c>
      <c r="G29" s="58"/>
      <c r="H29" s="54"/>
      <c r="I29" s="54"/>
      <c r="J29" s="54"/>
      <c r="K29" s="76">
        <f ca="1">AVERAGE(B28:K28)</f>
        <v>-5.0488376932898886E-3</v>
      </c>
      <c r="L29" s="54"/>
      <c r="M29" s="54"/>
      <c r="N29" s="54"/>
      <c r="O29" s="54"/>
      <c r="P29" s="76">
        <f ca="1">AVERAGE(B28:P28)</f>
        <v>-5.1128473601362362E-3</v>
      </c>
      <c r="Q29" s="54"/>
      <c r="R29" s="54"/>
      <c r="S29" s="54"/>
      <c r="T29" s="54"/>
      <c r="U29" s="76">
        <f ca="1">AVERAGE(B28:U28)</f>
        <v>-5.1779368064335685E-3</v>
      </c>
      <c r="V29" s="54"/>
      <c r="W29" s="54"/>
      <c r="X29" s="54"/>
      <c r="Y29" s="54"/>
      <c r="Z29" s="76">
        <f ca="1">AVERAGE(B28:Z28)</f>
        <v>-5.2441265068587598E-3</v>
      </c>
      <c r="AA29" s="54"/>
      <c r="AB29" s="54"/>
      <c r="AC29" s="54"/>
      <c r="AD29" s="54"/>
      <c r="AE29" s="76">
        <f ca="1">AVERAGE(B28:AE28)</f>
        <v>-5.3114373500389262E-3</v>
      </c>
    </row>
    <row r="30" spans="1:31" ht="16.05" customHeight="1">
      <c r="A30" s="31"/>
      <c r="B30" s="59"/>
      <c r="C30" s="60"/>
      <c r="D30" s="60"/>
    </row>
    <row r="31" spans="1:31" ht="16.05" customHeight="1">
      <c r="A31" s="30" t="s">
        <v>102</v>
      </c>
      <c r="B31" s="69"/>
      <c r="C31" s="70"/>
      <c r="D31" s="70"/>
      <c r="E31" s="71"/>
      <c r="F31" s="71"/>
      <c r="G31" s="72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</row>
    <row r="32" spans="1:31" s="20" customFormat="1" ht="16.05" customHeight="1">
      <c r="A32" s="31" t="s">
        <v>108</v>
      </c>
      <c r="B32" s="52">
        <v>750</v>
      </c>
      <c r="C32" s="52">
        <f>B32*(1+Projet!$C$21)</f>
        <v>753.74999999999989</v>
      </c>
      <c r="D32" s="52">
        <f>C32*(1+Projet!$C$21)</f>
        <v>757.51874999999984</v>
      </c>
      <c r="E32" s="52">
        <f>D32*(1+Projet!$C$21)</f>
        <v>761.30634374999977</v>
      </c>
      <c r="F32" s="52">
        <f>E32*(1+Projet!$C$21)</f>
        <v>765.11287546874973</v>
      </c>
      <c r="G32" s="52">
        <f>F32*(1+Projet!$C$21)</f>
        <v>768.93843984609339</v>
      </c>
      <c r="H32" s="52">
        <f>G32*(1+Projet!$C$21)</f>
        <v>772.78313204532378</v>
      </c>
      <c r="I32" s="52">
        <f>H32*(1+Projet!$C$21)</f>
        <v>776.64704770555034</v>
      </c>
      <c r="J32" s="52">
        <f>I32*(1+Projet!$C$21)</f>
        <v>780.53028294407795</v>
      </c>
      <c r="K32" s="52">
        <f>J32*(1+Projet!$C$21)</f>
        <v>784.43293435879821</v>
      </c>
      <c r="L32" s="52">
        <f>K32*(1+Projet!$C$21)</f>
        <v>788.3550990305921</v>
      </c>
      <c r="M32" s="52">
        <f>L32*(1+Projet!$C$21)</f>
        <v>792.29687452574501</v>
      </c>
      <c r="N32" s="52">
        <f>M32*(1+Projet!$C$21)</f>
        <v>796.25835889837367</v>
      </c>
      <c r="O32" s="52">
        <f>N32*(1+Projet!$C$21)</f>
        <v>800.23965069286544</v>
      </c>
      <c r="P32" s="52">
        <f>O32*(1+Projet!$C$21)</f>
        <v>804.24084894632972</v>
      </c>
      <c r="Q32" s="52">
        <f>P32*(1+Projet!$C$21)</f>
        <v>808.26205319106123</v>
      </c>
      <c r="R32" s="52">
        <f>Q32*(1+Projet!$C$21)</f>
        <v>812.30336345701642</v>
      </c>
      <c r="S32" s="52">
        <f>R32*(1+Projet!$C$21)</f>
        <v>816.36488027430141</v>
      </c>
      <c r="T32" s="52">
        <f>S32*(1+Projet!$C$21)</f>
        <v>820.44670467567278</v>
      </c>
      <c r="U32" s="52">
        <f>T32*(1+Projet!$C$21)</f>
        <v>824.54893819905101</v>
      </c>
      <c r="V32" s="52">
        <f>U32*(1+Projet!$C$21)</f>
        <v>828.67168289004621</v>
      </c>
      <c r="W32" s="52">
        <f>V32*(1+Projet!$C$21)</f>
        <v>832.81504130449639</v>
      </c>
      <c r="X32" s="52">
        <f>W32*(1+Projet!$C$21)</f>
        <v>836.97911651101879</v>
      </c>
      <c r="Y32" s="52">
        <f>X32*(1+Projet!$C$21)</f>
        <v>841.16401209357377</v>
      </c>
      <c r="Z32" s="52">
        <f>Y32*(1+Projet!$C$21)</f>
        <v>845.36983215404155</v>
      </c>
      <c r="AA32" s="52">
        <f>Z32*(1+Projet!$C$21)</f>
        <v>849.59668131481169</v>
      </c>
      <c r="AB32" s="52">
        <f>AA32*(1+Projet!$C$21)</f>
        <v>853.8446647213857</v>
      </c>
      <c r="AC32" s="52">
        <f>AB32*(1+Projet!$C$21)</f>
        <v>858.11388804499256</v>
      </c>
      <c r="AD32" s="52">
        <f>AC32*(1+Projet!$C$21)</f>
        <v>862.40445748521745</v>
      </c>
      <c r="AE32" s="52">
        <f>AD32*(1+Projet!$C$21)</f>
        <v>866.71647977264342</v>
      </c>
    </row>
    <row r="33" spans="1:32" s="20" customFormat="1" ht="16.05" customHeight="1">
      <c r="A33" s="32" t="s">
        <v>81</v>
      </c>
      <c r="B33" s="51">
        <f ca="1">B8-B11-B12-B13-B14-B15-B16-B17-B32</f>
        <v>-19102.438638859639</v>
      </c>
      <c r="C33" s="51">
        <f ca="1">C8-C11-C12-C13-C14-C15-C16-C17-C32+(IF(B33&lt;0,B33,0))</f>
        <v>-37988.419207373176</v>
      </c>
      <c r="D33" s="51">
        <f t="shared" ref="D33:AE33" ca="1" si="10">D8-D11-D12-D13-D14-D15-D16-D17-D32+(IF(C33&lt;0,C33,0))</f>
        <v>-56648.810131276718</v>
      </c>
      <c r="E33" s="51">
        <f t="shared" ca="1" si="10"/>
        <v>-75074.106238189081</v>
      </c>
      <c r="F33" s="51">
        <f t="shared" ca="1" si="10"/>
        <v>-93254.41352882958</v>
      </c>
      <c r="G33" s="51">
        <f t="shared" ca="1" si="10"/>
        <v>-111179.43332775266</v>
      </c>
      <c r="H33" s="51">
        <f t="shared" ca="1" si="10"/>
        <v>-128838.44578831975</v>
      </c>
      <c r="I33" s="51">
        <f t="shared" ca="1" si="10"/>
        <v>-146220.29272559864</v>
      </c>
      <c r="J33" s="51">
        <f t="shared" ca="1" si="10"/>
        <v>-163313.35974980911</v>
      </c>
      <c r="K33" s="51">
        <f t="shared" ca="1" si="10"/>
        <v>-180105.55767181766</v>
      </c>
      <c r="L33" s="51">
        <f t="shared" ca="1" si="10"/>
        <v>-196584.30315102322</v>
      </c>
      <c r="M33" s="51">
        <f t="shared" ca="1" si="10"/>
        <v>-212736.49855476784</v>
      </c>
      <c r="N33" s="51">
        <f t="shared" ca="1" si="10"/>
        <v>-228548.51099714788</v>
      </c>
      <c r="O33" s="51">
        <f t="shared" ca="1" si="10"/>
        <v>-244006.15052379362</v>
      </c>
      <c r="P33" s="51">
        <f t="shared" ca="1" si="10"/>
        <v>-259094.64740782211</v>
      </c>
      <c r="Q33" s="51">
        <f t="shared" ca="1" si="10"/>
        <v>-273798.62852075108</v>
      </c>
      <c r="R33" s="51">
        <f t="shared" ca="1" si="10"/>
        <v>-288102.09274068597</v>
      </c>
      <c r="S33" s="51">
        <f t="shared" ca="1" si="10"/>
        <v>-301988.3853585574</v>
      </c>
      <c r="T33" s="51">
        <f t="shared" ca="1" si="10"/>
        <v>-315440.17144158715</v>
      </c>
      <c r="U33" s="51">
        <f t="shared" ca="1" si="10"/>
        <v>-328439.40811149892</v>
      </c>
      <c r="V33" s="51">
        <f t="shared" ca="1" si="10"/>
        <v>-340967.3156932586</v>
      </c>
      <c r="W33" s="51">
        <f t="shared" ca="1" si="10"/>
        <v>-353004.34768832714</v>
      </c>
      <c r="X33" s="51">
        <f t="shared" ca="1" si="10"/>
        <v>-364530.15952453506</v>
      </c>
      <c r="Y33" s="51">
        <f t="shared" ca="1" si="10"/>
        <v>-375523.57603273564</v>
      </c>
      <c r="Z33" s="51">
        <f t="shared" ca="1" si="10"/>
        <v>-385962.55759836402</v>
      </c>
      <c r="AA33" s="51">
        <f t="shared" ca="1" si="10"/>
        <v>-388544.94985476526</v>
      </c>
      <c r="AB33" s="51">
        <f t="shared" ca="1" si="10"/>
        <v>-391137.25407244847</v>
      </c>
      <c r="AC33" s="51">
        <f t="shared" ca="1" si="10"/>
        <v>-393739.51981122012</v>
      </c>
      <c r="AD33" s="51">
        <f t="shared" ca="1" si="10"/>
        <v>-396351.79687868565</v>
      </c>
      <c r="AE33" s="51">
        <f t="shared" ca="1" si="10"/>
        <v>-398974.13533148851</v>
      </c>
    </row>
    <row r="34" spans="1:32" ht="15" customHeight="1">
      <c r="A34" s="34" t="s">
        <v>80</v>
      </c>
      <c r="B34" s="107" cm="1">
        <f t="array" aca="1" ref="B34" ca="1">_xlfn.IFS(B33&lt;0,0,B33&lt;38120,B33*15%,B33&gt;38120,B33*25%)</f>
        <v>0</v>
      </c>
      <c r="C34" s="107" cm="1">
        <f t="array" aca="1" ref="C34" ca="1">_xlfn.IFS(C33&lt;0,0,C33&lt;38120,C33*15%,C33&gt;38120,C33*25%)</f>
        <v>0</v>
      </c>
      <c r="D34" s="107" cm="1">
        <f t="array" aca="1" ref="D34" ca="1">_xlfn.IFS(D33&lt;0,0,D33&lt;38120,D33*15%,D33&gt;38120,D33*25%)</f>
        <v>0</v>
      </c>
      <c r="E34" s="107" cm="1">
        <f t="array" aca="1" ref="E34" ca="1">_xlfn.IFS(E33&lt;0,0,E33&lt;38120,E33*15%,E33&gt;38120,E33*25%)</f>
        <v>0</v>
      </c>
      <c r="F34" s="107" cm="1">
        <f t="array" aca="1" ref="F34" ca="1">_xlfn.IFS(F33&lt;0,0,F33&lt;38120,F33*15%,F33&gt;38120,F33*25%)</f>
        <v>0</v>
      </c>
      <c r="G34" s="107" cm="1">
        <f t="array" aca="1" ref="G34" ca="1">_xlfn.IFS(G33&lt;0,0,G33&lt;38120,G33*15%,G33&gt;38120,G33*25%)</f>
        <v>0</v>
      </c>
      <c r="H34" s="107" cm="1">
        <f t="array" aca="1" ref="H34" ca="1">_xlfn.IFS(H33&lt;0,0,H33&lt;38120,H33*15%,H33&gt;38120,H33*25%)</f>
        <v>0</v>
      </c>
      <c r="I34" s="107" cm="1">
        <f t="array" aca="1" ref="I34" ca="1">_xlfn.IFS(I33&lt;0,0,I33&lt;38120,I33*15%,I33&gt;38120,I33*25%)</f>
        <v>0</v>
      </c>
      <c r="J34" s="107" cm="1">
        <f t="array" aca="1" ref="J34" ca="1">_xlfn.IFS(J33&lt;0,0,J33&lt;38120,J33*15%,J33&gt;38120,J33*25%)</f>
        <v>0</v>
      </c>
      <c r="K34" s="107" cm="1">
        <f t="array" aca="1" ref="K34" ca="1">_xlfn.IFS(K33&lt;0,0,K33&lt;38120,K33*15%,K33&gt;38120,K33*25%)</f>
        <v>0</v>
      </c>
      <c r="L34" s="107" cm="1">
        <f t="array" aca="1" ref="L34" ca="1">_xlfn.IFS(L33&lt;0,0,L33&lt;38120,L33*15%,L33&gt;38120,L33*25%)</f>
        <v>0</v>
      </c>
      <c r="M34" s="107" cm="1">
        <f t="array" aca="1" ref="M34" ca="1">_xlfn.IFS(M33&lt;0,0,M33&lt;38120,M33*15%,M33&gt;38120,M33*25%)</f>
        <v>0</v>
      </c>
      <c r="N34" s="107" cm="1">
        <f t="array" aca="1" ref="N34" ca="1">_xlfn.IFS(N33&lt;0,0,N33&lt;38120,N33*15%,N33&gt;38120,N33*25%)</f>
        <v>0</v>
      </c>
      <c r="O34" s="107" cm="1">
        <f t="array" aca="1" ref="O34" ca="1">_xlfn.IFS(O33&lt;0,0,O33&lt;38120,O33*15%,O33&gt;38120,O33*25%)</f>
        <v>0</v>
      </c>
      <c r="P34" s="107" cm="1">
        <f t="array" aca="1" ref="P34" ca="1">_xlfn.IFS(P33&lt;0,0,P33&lt;38120,P33*15%,P33&gt;38120,P33*25%)</f>
        <v>0</v>
      </c>
      <c r="Q34" s="107" cm="1">
        <f t="array" aca="1" ref="Q34" ca="1">_xlfn.IFS(Q33&lt;0,0,Q33&lt;38120,Q33*15%,Q33&gt;38120,Q33*25%)</f>
        <v>0</v>
      </c>
      <c r="R34" s="107" cm="1">
        <f t="array" aca="1" ref="R34" ca="1">_xlfn.IFS(R33&lt;0,0,R33&lt;38120,R33*15%,R33&gt;38120,R33*25%)</f>
        <v>0</v>
      </c>
      <c r="S34" s="107" cm="1">
        <f t="array" aca="1" ref="S34" ca="1">_xlfn.IFS(S33&lt;0,0,S33&lt;38120,S33*15%,S33&gt;38120,S33*25%)</f>
        <v>0</v>
      </c>
      <c r="T34" s="107" cm="1">
        <f t="array" aca="1" ref="T34" ca="1">_xlfn.IFS(T33&lt;0,0,T33&lt;38120,T33*15%,T33&gt;38120,T33*25%)</f>
        <v>0</v>
      </c>
      <c r="U34" s="107" cm="1">
        <f t="array" aca="1" ref="U34" ca="1">_xlfn.IFS(U33&lt;0,0,U33&lt;38120,U33*15%,U33&gt;38120,U33*25%)</f>
        <v>0</v>
      </c>
      <c r="V34" s="107" cm="1">
        <f t="array" aca="1" ref="V34" ca="1">_xlfn.IFS(V33&lt;0,0,V33&lt;38120,V33*15%,V33&gt;38120,V33*25%)</f>
        <v>0</v>
      </c>
      <c r="W34" s="107" cm="1">
        <f t="array" aca="1" ref="W34" ca="1">_xlfn.IFS(W33&lt;0,0,W33&lt;38120,W33*15%,W33&gt;38120,W33*25%)</f>
        <v>0</v>
      </c>
      <c r="X34" s="107" cm="1">
        <f t="array" aca="1" ref="X34" ca="1">_xlfn.IFS(X33&lt;0,0,X33&lt;38120,X33*15%,X33&gt;38120,X33*25%)</f>
        <v>0</v>
      </c>
      <c r="Y34" s="107" cm="1">
        <f t="array" aca="1" ref="Y34" ca="1">_xlfn.IFS(Y33&lt;0,0,Y33&lt;38120,Y33*15%,Y33&gt;38120,Y33*25%)</f>
        <v>0</v>
      </c>
      <c r="Z34" s="107" cm="1">
        <f t="array" aca="1" ref="Z34" ca="1">_xlfn.IFS(Z33&lt;0,0,Z33&lt;38120,Z33*15%,Z33&gt;38120,Z33*25%)</f>
        <v>0</v>
      </c>
      <c r="AA34" s="107" cm="1">
        <f t="array" aca="1" ref="AA34" ca="1">_xlfn.IFS(AA33&lt;0,0,AA33&lt;38120,AA33*15%,AA33&gt;38120,AA33*25%)</f>
        <v>0</v>
      </c>
      <c r="AB34" s="107" cm="1">
        <f t="array" aca="1" ref="AB34" ca="1">_xlfn.IFS(AB33&lt;0,0,AB33&lt;38120,AB33*15%,AB33&gt;38120,AB33*25%)</f>
        <v>0</v>
      </c>
      <c r="AC34" s="107" cm="1">
        <f t="array" aca="1" ref="AC34" ca="1">_xlfn.IFS(AC33&lt;0,0,AC33&lt;38120,AC33*15%,AC33&gt;38120,AC33*25%)</f>
        <v>0</v>
      </c>
      <c r="AD34" s="107" cm="1">
        <f t="array" aca="1" ref="AD34" ca="1">_xlfn.IFS(AD33&lt;0,0,AD33&lt;38120,AD33*15%,AD33&gt;38120,AD33*25%)</f>
        <v>0</v>
      </c>
      <c r="AE34" s="107" cm="1">
        <f t="array" aca="1" ref="AE34" ca="1">_xlfn.IFS(AE33&lt;0,0,AE33&lt;38120,AE33*15%,AE33&gt;38120,AE33*25%)</f>
        <v>0</v>
      </c>
      <c r="AF34" s="108"/>
    </row>
    <row r="35" spans="1:32" ht="14" hidden="1" customHeight="1">
      <c r="A35" s="34"/>
      <c r="B35" s="107"/>
      <c r="C35" s="107"/>
      <c r="D35" s="107"/>
      <c r="E35" s="107"/>
      <c r="F35" s="107">
        <f ca="1">SUM(B34:F34)</f>
        <v>0</v>
      </c>
      <c r="G35" s="107"/>
      <c r="H35" s="107"/>
      <c r="I35" s="107"/>
      <c r="J35" s="107"/>
      <c r="K35" s="107">
        <f ca="1">SUM(B34:K34)</f>
        <v>0</v>
      </c>
      <c r="L35" s="107"/>
      <c r="M35" s="107"/>
      <c r="N35" s="107"/>
      <c r="O35" s="107"/>
      <c r="P35" s="107">
        <f ca="1">SUM(B34:P34)</f>
        <v>0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>
        <f ca="1">SUM(B34:Z34)</f>
        <v>0</v>
      </c>
      <c r="AA35" s="107"/>
      <c r="AB35" s="107"/>
      <c r="AC35" s="107"/>
      <c r="AD35" s="107"/>
      <c r="AE35" s="107">
        <f ca="1">SUM(B34:AE34)</f>
        <v>0</v>
      </c>
      <c r="AF35" s="108"/>
    </row>
    <row r="36" spans="1:32" ht="16.05" customHeight="1">
      <c r="A36" s="31" t="s">
        <v>110</v>
      </c>
      <c r="B36" s="109">
        <f ca="1">B18-B32-B34</f>
        <v>-17077.914652724703</v>
      </c>
      <c r="C36" s="109">
        <f t="shared" ref="C36:AE36" ca="1" si="11">C18-C32-C34</f>
        <v>-17086.664652724703</v>
      </c>
      <c r="D36" s="109">
        <f t="shared" ca="1" si="11"/>
        <v>-17095.458402724704</v>
      </c>
      <c r="E36" s="109">
        <f t="shared" ca="1" si="11"/>
        <v>-17104.296121474701</v>
      </c>
      <c r="F36" s="109">
        <f t="shared" ca="1" si="11"/>
        <v>-17113.178028818453</v>
      </c>
      <c r="G36" s="109">
        <f t="shared" ca="1" si="11"/>
        <v>-17122.104345698921</v>
      </c>
      <c r="H36" s="109">
        <f t="shared" ca="1" si="11"/>
        <v>-17131.075294163791</v>
      </c>
      <c r="I36" s="109">
        <f t="shared" ca="1" si="11"/>
        <v>-17140.091097370987</v>
      </c>
      <c r="J36" s="109">
        <f t="shared" ca="1" si="11"/>
        <v>-17149.151979594219</v>
      </c>
      <c r="K36" s="109">
        <f t="shared" ca="1" si="11"/>
        <v>-17158.258166228567</v>
      </c>
      <c r="L36" s="109">
        <f t="shared" ca="1" si="11"/>
        <v>-17167.409883796085</v>
      </c>
      <c r="M36" s="109">
        <f t="shared" ca="1" si="11"/>
        <v>-17176.607359951442</v>
      </c>
      <c r="N36" s="109">
        <f t="shared" ca="1" si="11"/>
        <v>-17185.850823487574</v>
      </c>
      <c r="O36" s="109">
        <f t="shared" ca="1" si="11"/>
        <v>-17195.140504341391</v>
      </c>
      <c r="P36" s="109">
        <f t="shared" ca="1" si="11"/>
        <v>-17204.476633599472</v>
      </c>
      <c r="Q36" s="109">
        <f t="shared" ca="1" si="11"/>
        <v>-17213.859443503847</v>
      </c>
      <c r="R36" s="109">
        <f t="shared" ca="1" si="11"/>
        <v>-17223.28916745774</v>
      </c>
      <c r="S36" s="109">
        <f t="shared" ca="1" si="11"/>
        <v>-17232.766040031405</v>
      </c>
      <c r="T36" s="109">
        <f ca="1">T18-T32-T34</f>
        <v>-17242.290296967938</v>
      </c>
      <c r="U36" s="109">
        <f t="shared" ca="1" si="11"/>
        <v>-17251.862175189155</v>
      </c>
      <c r="V36" s="109">
        <f t="shared" ca="1" si="11"/>
        <v>-17261.481912801479</v>
      </c>
      <c r="W36" s="109">
        <f t="shared" ca="1" si="11"/>
        <v>-17271.149749101864</v>
      </c>
      <c r="X36" s="109">
        <f t="shared" ca="1" si="11"/>
        <v>-17280.865924583748</v>
      </c>
      <c r="Y36" s="109">
        <f t="shared" ca="1" si="11"/>
        <v>-17290.630680943043</v>
      </c>
      <c r="Z36" s="109">
        <f t="shared" ca="1" si="11"/>
        <v>-17300.444261084136</v>
      </c>
      <c r="AA36" s="109">
        <f t="shared" ca="1" si="11"/>
        <v>-17310.306909125931</v>
      </c>
      <c r="AB36" s="109">
        <f t="shared" ca="1" si="11"/>
        <v>-17320.218870407938</v>
      </c>
      <c r="AC36" s="109">
        <f t="shared" ca="1" si="11"/>
        <v>-17330.180391496353</v>
      </c>
      <c r="AD36" s="109">
        <f t="shared" ca="1" si="11"/>
        <v>-17340.191720190211</v>
      </c>
      <c r="AE36" s="109">
        <f t="shared" ca="1" si="11"/>
        <v>-17350.253105527539</v>
      </c>
    </row>
    <row r="37" spans="1:32" ht="16.05" customHeight="1">
      <c r="A37" s="31" t="s">
        <v>111</v>
      </c>
      <c r="B37" s="106">
        <f ca="1">B36/12</f>
        <v>-1423.1595543937253</v>
      </c>
      <c r="C37" s="106">
        <f t="shared" ref="C37:AE37" ca="1" si="12">C36/12</f>
        <v>-1423.8887210603918</v>
      </c>
      <c r="D37" s="106">
        <f t="shared" ca="1" si="12"/>
        <v>-1424.621533560392</v>
      </c>
      <c r="E37" s="106">
        <f t="shared" ca="1" si="12"/>
        <v>-1425.3580101228918</v>
      </c>
      <c r="F37" s="106">
        <f t="shared" ca="1" si="12"/>
        <v>-1426.0981690682045</v>
      </c>
      <c r="G37" s="106">
        <f t="shared" ca="1" si="12"/>
        <v>-1426.8420288082434</v>
      </c>
      <c r="H37" s="106">
        <f t="shared" ca="1" si="12"/>
        <v>-1427.5896078469825</v>
      </c>
      <c r="I37" s="106">
        <f t="shared" ca="1" si="12"/>
        <v>-1428.3409247809157</v>
      </c>
      <c r="J37" s="106">
        <f t="shared" ca="1" si="12"/>
        <v>-1429.0959982995182</v>
      </c>
      <c r="K37" s="106">
        <f t="shared" ca="1" si="12"/>
        <v>-1429.8548471857139</v>
      </c>
      <c r="L37" s="106">
        <f t="shared" ca="1" si="12"/>
        <v>-1430.6174903163403</v>
      </c>
      <c r="M37" s="106">
        <f t="shared" ca="1" si="12"/>
        <v>-1431.3839466626202</v>
      </c>
      <c r="N37" s="106">
        <f t="shared" ca="1" si="12"/>
        <v>-1432.154235290631</v>
      </c>
      <c r="O37" s="106">
        <f t="shared" ca="1" si="12"/>
        <v>-1432.9283753617826</v>
      </c>
      <c r="P37" s="106">
        <f t="shared" ca="1" si="12"/>
        <v>-1433.7063861332892</v>
      </c>
      <c r="Q37" s="106">
        <f t="shared" ca="1" si="12"/>
        <v>-1434.4882869586538</v>
      </c>
      <c r="R37" s="106">
        <f t="shared" ca="1" si="12"/>
        <v>-1435.274097288145</v>
      </c>
      <c r="S37" s="106">
        <f t="shared" ca="1" si="12"/>
        <v>-1436.0638366692838</v>
      </c>
      <c r="T37" s="106">
        <f t="shared" ca="1" si="12"/>
        <v>-1436.8575247473282</v>
      </c>
      <c r="U37" s="106">
        <f t="shared" ca="1" si="12"/>
        <v>-1437.6551812657628</v>
      </c>
      <c r="V37" s="106">
        <f t="shared" ca="1" si="12"/>
        <v>-1438.45682606679</v>
      </c>
      <c r="W37" s="106">
        <f t="shared" ca="1" si="12"/>
        <v>-1439.2624790918219</v>
      </c>
      <c r="X37" s="106">
        <f t="shared" ca="1" si="12"/>
        <v>-1440.0721603819791</v>
      </c>
      <c r="Y37" s="106">
        <f t="shared" ca="1" si="12"/>
        <v>-1440.885890078587</v>
      </c>
      <c r="Z37" s="106">
        <f t="shared" ca="1" si="12"/>
        <v>-1441.7036884236779</v>
      </c>
      <c r="AA37" s="106">
        <f t="shared" ca="1" si="12"/>
        <v>-1442.5255757604943</v>
      </c>
      <c r="AB37" s="106">
        <f t="shared" ca="1" si="12"/>
        <v>-1443.3515725339948</v>
      </c>
      <c r="AC37" s="106">
        <f t="shared" ca="1" si="12"/>
        <v>-1444.1816992913627</v>
      </c>
      <c r="AD37" s="106">
        <f t="shared" ca="1" si="12"/>
        <v>-1445.0159766825175</v>
      </c>
      <c r="AE37" s="106">
        <f t="shared" ca="1" si="12"/>
        <v>-1445.8544254606284</v>
      </c>
    </row>
    <row r="38" spans="1:32" ht="16.05" customHeight="1">
      <c r="A38" s="44" t="s">
        <v>54</v>
      </c>
      <c r="B38" s="77">
        <f t="shared" ref="B38:AE38" si="13">(B8-B13-B14-B15-B16-B32)/$B$3</f>
        <v>-7.4150091649513271E-3</v>
      </c>
      <c r="C38" s="77">
        <f t="shared" si="13"/>
        <v>-7.4520842107760827E-3</v>
      </c>
      <c r="D38" s="77">
        <f t="shared" si="13"/>
        <v>-7.4893446318299627E-3</v>
      </c>
      <c r="E38" s="77">
        <f t="shared" si="13"/>
        <v>-7.5267913549891116E-3</v>
      </c>
      <c r="F38" s="77">
        <f t="shared" si="13"/>
        <v>-7.5644253117640569E-3</v>
      </c>
      <c r="G38" s="77">
        <f t="shared" si="13"/>
        <v>-7.6022474383228757E-3</v>
      </c>
      <c r="H38" s="77">
        <f t="shared" si="13"/>
        <v>-7.6402586755144886E-3</v>
      </c>
      <c r="I38" s="77">
        <f t="shared" si="13"/>
        <v>-7.6784599688920615E-3</v>
      </c>
      <c r="J38" s="77">
        <f t="shared" si="13"/>
        <v>-7.7168522687365206E-3</v>
      </c>
      <c r="K38" s="77">
        <f t="shared" si="13"/>
        <v>-7.7554365300802029E-3</v>
      </c>
      <c r="L38" s="77">
        <f t="shared" si="13"/>
        <v>-7.7942137127306023E-3</v>
      </c>
      <c r="M38" s="77">
        <f t="shared" si="13"/>
        <v>-7.8331847812942532E-3</v>
      </c>
      <c r="N38" s="77">
        <f t="shared" si="13"/>
        <v>-7.8723507052007244E-3</v>
      </c>
      <c r="O38" s="77">
        <f t="shared" si="13"/>
        <v>-7.9117124587267263E-3</v>
      </c>
      <c r="P38" s="77">
        <f t="shared" si="13"/>
        <v>-7.9512710210203601E-3</v>
      </c>
      <c r="Q38" s="77">
        <f t="shared" si="13"/>
        <v>-7.9910273761254619E-3</v>
      </c>
      <c r="R38" s="77">
        <f t="shared" si="13"/>
        <v>-8.030982513006088E-3</v>
      </c>
      <c r="S38" s="77">
        <f t="shared" si="13"/>
        <v>-8.0711374255711173E-3</v>
      </c>
      <c r="T38" s="77">
        <f t="shared" si="13"/>
        <v>-8.1114931126989708E-3</v>
      </c>
      <c r="U38" s="77">
        <f t="shared" si="13"/>
        <v>-8.1520505782624649E-3</v>
      </c>
      <c r="V38" s="77">
        <f t="shared" si="13"/>
        <v>-8.1928108311537778E-3</v>
      </c>
      <c r="W38" s="77">
        <f t="shared" si="13"/>
        <v>-8.2337748853095454E-3</v>
      </c>
      <c r="X38" s="77">
        <f t="shared" si="13"/>
        <v>-8.2749437597360934E-3</v>
      </c>
      <c r="Y38" s="77">
        <f t="shared" si="13"/>
        <v>-8.3163184785347722E-3</v>
      </c>
      <c r="Z38" s="77">
        <f t="shared" si="13"/>
        <v>-8.3579000709274442E-3</v>
      </c>
      <c r="AA38" s="77">
        <f t="shared" si="13"/>
        <v>-8.3996895712820808E-3</v>
      </c>
      <c r="AB38" s="77">
        <f t="shared" si="13"/>
        <v>-8.4416880191384904E-3</v>
      </c>
      <c r="AC38" s="77">
        <f t="shared" si="13"/>
        <v>-8.4838964592341831E-3</v>
      </c>
      <c r="AD38" s="77">
        <f t="shared" si="13"/>
        <v>-8.5263159415303515E-3</v>
      </c>
      <c r="AE38" s="77">
        <f t="shared" si="13"/>
        <v>-8.5689475212380028E-3</v>
      </c>
    </row>
    <row r="39" spans="1:32" ht="1.05" customHeight="1">
      <c r="A39" s="31"/>
      <c r="B39" s="59"/>
      <c r="C39" s="60"/>
      <c r="D39" s="60"/>
      <c r="F39" s="138">
        <f>AVERAGE(B38:F38)</f>
        <v>-7.4895309348621082E-3</v>
      </c>
      <c r="K39" s="110">
        <f>AVERAGE(B38:K38)</f>
        <v>-7.5840909555856695E-3</v>
      </c>
      <c r="P39" s="110">
        <f>AVERAGE(B38:P38)</f>
        <v>-7.680242815655291E-3</v>
      </c>
      <c r="U39" s="110">
        <f>AVERAGE(B38:U38)</f>
        <v>-7.7780166620246725E-3</v>
      </c>
      <c r="Z39" s="111">
        <f>AVERAGE(B38:Z38)</f>
        <v>-7.877443250646203E-3</v>
      </c>
      <c r="AE39" s="112">
        <f>AVERAGE(B38:AE38)</f>
        <v>-7.97855395928594E-3</v>
      </c>
    </row>
    <row r="40" spans="1:32" ht="16.05" customHeight="1">
      <c r="A40" s="31"/>
      <c r="B40" s="59"/>
      <c r="C40" s="60"/>
      <c r="D40" s="60"/>
    </row>
    <row r="41" spans="1:32" ht="16.05" customHeight="1">
      <c r="A41" s="30" t="s">
        <v>64</v>
      </c>
      <c r="B41" s="69"/>
      <c r="C41" s="70"/>
      <c r="D41" s="70"/>
      <c r="E41" s="71"/>
      <c r="F41" s="71"/>
      <c r="G41" s="72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2" ht="16.05" customHeight="1">
      <c r="A42" s="80" t="s">
        <v>81</v>
      </c>
      <c r="B42" s="74">
        <f t="shared" ref="B42:AE42" si="14">B8*0.5</f>
        <v>0</v>
      </c>
      <c r="C42" s="74">
        <f t="shared" si="14"/>
        <v>0</v>
      </c>
      <c r="D42" s="74">
        <f t="shared" si="14"/>
        <v>0</v>
      </c>
      <c r="E42" s="74">
        <f t="shared" si="14"/>
        <v>0</v>
      </c>
      <c r="F42" s="74">
        <f t="shared" si="14"/>
        <v>0</v>
      </c>
      <c r="G42" s="74">
        <f t="shared" si="14"/>
        <v>0</v>
      </c>
      <c r="H42" s="74">
        <f t="shared" si="14"/>
        <v>0</v>
      </c>
      <c r="I42" s="74">
        <f t="shared" si="14"/>
        <v>0</v>
      </c>
      <c r="J42" s="74">
        <f t="shared" si="14"/>
        <v>0</v>
      </c>
      <c r="K42" s="74">
        <f t="shared" si="14"/>
        <v>0</v>
      </c>
      <c r="L42" s="74">
        <f t="shared" si="14"/>
        <v>0</v>
      </c>
      <c r="M42" s="74">
        <f t="shared" si="14"/>
        <v>0</v>
      </c>
      <c r="N42" s="74">
        <f t="shared" si="14"/>
        <v>0</v>
      </c>
      <c r="O42" s="74">
        <f t="shared" si="14"/>
        <v>0</v>
      </c>
      <c r="P42" s="74">
        <f t="shared" si="14"/>
        <v>0</v>
      </c>
      <c r="Q42" s="74">
        <f t="shared" si="14"/>
        <v>0</v>
      </c>
      <c r="R42" s="74">
        <f t="shared" si="14"/>
        <v>0</v>
      </c>
      <c r="S42" s="74">
        <f t="shared" si="14"/>
        <v>0</v>
      </c>
      <c r="T42" s="74">
        <f t="shared" si="14"/>
        <v>0</v>
      </c>
      <c r="U42" s="74">
        <f t="shared" si="14"/>
        <v>0</v>
      </c>
      <c r="V42" s="74">
        <f t="shared" si="14"/>
        <v>0</v>
      </c>
      <c r="W42" s="74">
        <f t="shared" si="14"/>
        <v>0</v>
      </c>
      <c r="X42" s="74">
        <f t="shared" si="14"/>
        <v>0</v>
      </c>
      <c r="Y42" s="74">
        <f t="shared" si="14"/>
        <v>0</v>
      </c>
      <c r="Z42" s="74">
        <f t="shared" si="14"/>
        <v>0</v>
      </c>
      <c r="AA42" s="74">
        <f t="shared" si="14"/>
        <v>0</v>
      </c>
      <c r="AB42" s="74">
        <f t="shared" si="14"/>
        <v>0</v>
      </c>
      <c r="AC42" s="74">
        <f t="shared" si="14"/>
        <v>0</v>
      </c>
      <c r="AD42" s="74">
        <f t="shared" si="14"/>
        <v>0</v>
      </c>
      <c r="AE42" s="74">
        <f t="shared" si="14"/>
        <v>0</v>
      </c>
    </row>
    <row r="43" spans="1:32" s="20" customFormat="1" ht="15" customHeight="1">
      <c r="A43" s="34" t="s">
        <v>80</v>
      </c>
      <c r="B43" s="78">
        <f>(B42*Projet!$C$4)+('Détails - Location meublée (CD)'!B42*0.172)</f>
        <v>0</v>
      </c>
      <c r="C43" s="78">
        <f>(C42*Projet!$C$4)+('Détails - Location meublée (CD)'!C42*0.172)</f>
        <v>0</v>
      </c>
      <c r="D43" s="78">
        <f>(D42*Projet!$C$4)+('Détails - Location meublée (CD)'!D42*0.172)</f>
        <v>0</v>
      </c>
      <c r="E43" s="78">
        <f>(E42*Projet!$C$4)+('Détails - Location meublée (CD)'!E42*0.172)</f>
        <v>0</v>
      </c>
      <c r="F43" s="78">
        <f>(F42*Projet!$C$4)+('Détails - Location meublée (CD)'!F42*0.172)</f>
        <v>0</v>
      </c>
      <c r="G43" s="78">
        <f>(G42*Projet!$C$4)+('Détails - Location meublée (CD)'!G42*0.172)</f>
        <v>0</v>
      </c>
      <c r="H43" s="78">
        <f>(H42*Projet!$C$4)+('Détails - Location meublée (CD)'!H42*0.172)</f>
        <v>0</v>
      </c>
      <c r="I43" s="78">
        <f>(I42*Projet!$C$4)+('Détails - Location meublée (CD)'!I42*0.172)</f>
        <v>0</v>
      </c>
      <c r="J43" s="78">
        <f>(J42*Projet!$C$4)+('Détails - Location meublée (CD)'!J42*0.172)</f>
        <v>0</v>
      </c>
      <c r="K43" s="78">
        <f>(K42*Projet!$C$4)+('Détails - Location meublée (CD)'!K42*0.172)</f>
        <v>0</v>
      </c>
      <c r="L43" s="78">
        <f>(L42*Projet!$C$4)+('Détails - Location meublée (CD)'!L42*0.172)</f>
        <v>0</v>
      </c>
      <c r="M43" s="78">
        <f>(M42*Projet!$C$4)+('Détails - Location meublée (CD)'!M42*0.172)</f>
        <v>0</v>
      </c>
      <c r="N43" s="78">
        <f>(N42*Projet!$C$4)+('Détails - Location meublée (CD)'!N42*0.172)</f>
        <v>0</v>
      </c>
      <c r="O43" s="78">
        <f>(O42*Projet!$C$4)+('Détails - Location meublée (CD)'!O42*0.172)</f>
        <v>0</v>
      </c>
      <c r="P43" s="78">
        <f>(P42*Projet!$C$4)+('Détails - Location meublée (CD)'!P42*0.172)</f>
        <v>0</v>
      </c>
      <c r="Q43" s="78">
        <f>(Q42*Projet!$C$4)+('Détails - Location meublée (CD)'!Q42*0.172)</f>
        <v>0</v>
      </c>
      <c r="R43" s="78">
        <f>(R42*Projet!$C$4)+('Détails - Location meublée (CD)'!R42*0.172)</f>
        <v>0</v>
      </c>
      <c r="S43" s="78">
        <f>(S42*Projet!$C$4)+('Détails - Location meublée (CD)'!S42*0.172)</f>
        <v>0</v>
      </c>
      <c r="T43" s="78">
        <f>(T42*Projet!$C$4)+('Détails - Location meublée (CD)'!T42*0.172)</f>
        <v>0</v>
      </c>
      <c r="U43" s="78">
        <f>(U42*Projet!$C$4)+('Détails - Location meublée (CD)'!U42*0.172)</f>
        <v>0</v>
      </c>
      <c r="V43" s="78">
        <f>(V42*Projet!$C$4)+('Détails - Location meublée (CD)'!V42*0.172)</f>
        <v>0</v>
      </c>
      <c r="W43" s="78">
        <f>(W42*Projet!$C$4)+('Détails - Location meublée (CD)'!W42*0.172)</f>
        <v>0</v>
      </c>
      <c r="X43" s="78">
        <f>(X42*Projet!$C$4)+('Détails - Location meublée (CD)'!X42*0.172)</f>
        <v>0</v>
      </c>
      <c r="Y43" s="78">
        <f>(Y42*Projet!$C$4)+('Détails - Location meublée (CD)'!Y42*0.172)</f>
        <v>0</v>
      </c>
      <c r="Z43" s="78">
        <f>(Z42*Projet!$C$4)+('Détails - Location meublée (CD)'!Z42*0.172)</f>
        <v>0</v>
      </c>
      <c r="AA43" s="78">
        <f>(AA42*Projet!$C$4)+('Détails - Location meublée (CD)'!AA42*0.172)</f>
        <v>0</v>
      </c>
      <c r="AB43" s="78">
        <f>(AB42*Projet!$C$4)+('Détails - Location meublée (CD)'!AB42*0.172)</f>
        <v>0</v>
      </c>
      <c r="AC43" s="78">
        <f>(AC42*Projet!$C$4)+('Détails - Location meublée (CD)'!AC42*0.172)</f>
        <v>0</v>
      </c>
      <c r="AD43" s="78">
        <f>(AD42*Projet!$C$4)+('Détails - Location meublée (CD)'!AD42*0.172)</f>
        <v>0</v>
      </c>
      <c r="AE43" s="78">
        <f>(AE42*Projet!$C$4)+('Détails - Location meublée (CD)'!AE42*0.172)</f>
        <v>0</v>
      </c>
    </row>
    <row r="44" spans="1:32" s="20" customFormat="1" ht="16.05" hidden="1" customHeight="1">
      <c r="A44" s="38"/>
      <c r="B44" s="56"/>
      <c r="C44" s="56"/>
      <c r="D44" s="56"/>
      <c r="E44" s="56"/>
      <c r="F44" s="56">
        <f>SUM(B43:F43)</f>
        <v>0</v>
      </c>
      <c r="G44" s="56"/>
      <c r="H44" s="56"/>
      <c r="I44" s="56"/>
      <c r="J44" s="56"/>
      <c r="K44" s="56">
        <f>SUM(B43:K43)</f>
        <v>0</v>
      </c>
      <c r="L44" s="56"/>
      <c r="M44" s="56"/>
      <c r="N44" s="56"/>
      <c r="O44" s="56"/>
      <c r="P44" s="56">
        <f>SUM(B43:P43)</f>
        <v>0</v>
      </c>
      <c r="Q44" s="56"/>
      <c r="R44" s="56"/>
      <c r="S44" s="56"/>
      <c r="T44" s="56"/>
      <c r="U44" s="56">
        <f>SUM(B43:U43)</f>
        <v>0</v>
      </c>
      <c r="V44" s="56"/>
      <c r="W44" s="56"/>
      <c r="X44" s="56"/>
      <c r="Y44" s="56"/>
      <c r="Z44" s="56">
        <f>SUM(B43:Z43)</f>
        <v>0</v>
      </c>
      <c r="AA44" s="56"/>
      <c r="AB44" s="56"/>
      <c r="AC44" s="56"/>
      <c r="AD44" s="56"/>
      <c r="AE44" s="56">
        <f>SUM(B43:AE43)</f>
        <v>0</v>
      </c>
    </row>
    <row r="45" spans="1:32" s="20" customFormat="1" ht="16.05" customHeight="1">
      <c r="A45" s="32" t="s">
        <v>77</v>
      </c>
      <c r="B45" s="51">
        <f t="shared" ref="B45:AE45" ca="1" si="15">B18-B43</f>
        <v>-16327.914652724703</v>
      </c>
      <c r="C45" s="51">
        <f t="shared" ca="1" si="15"/>
        <v>-16332.914652724703</v>
      </c>
      <c r="D45" s="51">
        <f t="shared" ca="1" si="15"/>
        <v>-16337.939652724703</v>
      </c>
      <c r="E45" s="51">
        <f t="shared" ca="1" si="15"/>
        <v>-16342.989777724702</v>
      </c>
      <c r="F45" s="51">
        <f t="shared" ca="1" si="15"/>
        <v>-16348.065153349702</v>
      </c>
      <c r="G45" s="51">
        <f t="shared" ca="1" si="15"/>
        <v>-16353.165905852828</v>
      </c>
      <c r="H45" s="51">
        <f t="shared" ca="1" si="15"/>
        <v>-16358.292162118469</v>
      </c>
      <c r="I45" s="51">
        <f t="shared" ca="1" si="15"/>
        <v>-16363.444049665437</v>
      </c>
      <c r="J45" s="51">
        <f t="shared" ca="1" si="15"/>
        <v>-16368.62169665014</v>
      </c>
      <c r="K45" s="51">
        <f t="shared" ca="1" si="15"/>
        <v>-16373.825231869767</v>
      </c>
      <c r="L45" s="51">
        <f t="shared" ca="1" si="15"/>
        <v>-16379.054784765493</v>
      </c>
      <c r="M45" s="51">
        <f t="shared" ca="1" si="15"/>
        <v>-16384.310485425696</v>
      </c>
      <c r="N45" s="51">
        <f t="shared" ca="1" si="15"/>
        <v>-16389.592464589201</v>
      </c>
      <c r="O45" s="51">
        <f t="shared" ca="1" si="15"/>
        <v>-16394.900853648523</v>
      </c>
      <c r="P45" s="51">
        <f t="shared" ca="1" si="15"/>
        <v>-16400.235784653141</v>
      </c>
      <c r="Q45" s="51">
        <f t="shared" ca="1" si="15"/>
        <v>-16405.597390312785</v>
      </c>
      <c r="R45" s="51">
        <f t="shared" ca="1" si="15"/>
        <v>-16410.985804000724</v>
      </c>
      <c r="S45" s="51">
        <f t="shared" ca="1" si="15"/>
        <v>-16416.401159757104</v>
      </c>
      <c r="T45" s="51">
        <f t="shared" ca="1" si="15"/>
        <v>-16421.843592292265</v>
      </c>
      <c r="U45" s="51">
        <f t="shared" ca="1" si="15"/>
        <v>-16427.313236990103</v>
      </c>
      <c r="V45" s="51">
        <f t="shared" ca="1" si="15"/>
        <v>-16432.810229911433</v>
      </c>
      <c r="W45" s="51">
        <f t="shared" ca="1" si="15"/>
        <v>-16438.334707797367</v>
      </c>
      <c r="X45" s="51">
        <f t="shared" ca="1" si="15"/>
        <v>-16443.88680807273</v>
      </c>
      <c r="Y45" s="51">
        <f t="shared" ca="1" si="15"/>
        <v>-16449.466668849469</v>
      </c>
      <c r="Z45" s="51">
        <f t="shared" ca="1" si="15"/>
        <v>-16455.074428930093</v>
      </c>
      <c r="AA45" s="51">
        <f t="shared" ca="1" si="15"/>
        <v>-16460.71022781112</v>
      </c>
      <c r="AB45" s="51">
        <f t="shared" ca="1" si="15"/>
        <v>-16466.374205686552</v>
      </c>
      <c r="AC45" s="51">
        <f t="shared" ca="1" si="15"/>
        <v>-16472.066503451359</v>
      </c>
      <c r="AD45" s="51">
        <f t="shared" ca="1" si="15"/>
        <v>-16477.787262704995</v>
      </c>
      <c r="AE45" s="51">
        <f t="shared" ca="1" si="15"/>
        <v>-16483.536625754896</v>
      </c>
    </row>
    <row r="46" spans="1:32" s="20" customFormat="1" ht="16.05" customHeight="1">
      <c r="A46" s="31" t="s">
        <v>82</v>
      </c>
      <c r="B46" s="52">
        <f ca="1">B45/12</f>
        <v>-1360.6595543937253</v>
      </c>
      <c r="C46" s="52">
        <f t="shared" ref="C46:AE46" ca="1" si="16">C45/12</f>
        <v>-1361.0762210603918</v>
      </c>
      <c r="D46" s="52">
        <f t="shared" ca="1" si="16"/>
        <v>-1361.4949710603919</v>
      </c>
      <c r="E46" s="52">
        <f t="shared" ca="1" si="16"/>
        <v>-1361.9158148103918</v>
      </c>
      <c r="F46" s="52">
        <f t="shared" ca="1" si="16"/>
        <v>-1362.3387627791419</v>
      </c>
      <c r="G46" s="52">
        <f t="shared" ca="1" si="16"/>
        <v>-1362.7638254877356</v>
      </c>
      <c r="H46" s="52">
        <f t="shared" ca="1" si="16"/>
        <v>-1363.1910135098724</v>
      </c>
      <c r="I46" s="52">
        <f t="shared" ca="1" si="16"/>
        <v>-1363.6203374721197</v>
      </c>
      <c r="J46" s="52">
        <f t="shared" ca="1" si="16"/>
        <v>-1364.0518080541783</v>
      </c>
      <c r="K46" s="52">
        <f t="shared" ca="1" si="16"/>
        <v>-1364.4854359891472</v>
      </c>
      <c r="L46" s="52">
        <f t="shared" ca="1" si="16"/>
        <v>-1364.921232063791</v>
      </c>
      <c r="M46" s="52">
        <f t="shared" ca="1" si="16"/>
        <v>-1365.3592071188079</v>
      </c>
      <c r="N46" s="52">
        <f t="shared" ca="1" si="16"/>
        <v>-1365.7993720491002</v>
      </c>
      <c r="O46" s="52">
        <f t="shared" ca="1" si="16"/>
        <v>-1366.2417378040436</v>
      </c>
      <c r="P46" s="52">
        <f t="shared" ca="1" si="16"/>
        <v>-1366.6863153877619</v>
      </c>
      <c r="Q46" s="52">
        <f t="shared" ca="1" si="16"/>
        <v>-1367.1331158593987</v>
      </c>
      <c r="R46" s="52">
        <f t="shared" ca="1" si="16"/>
        <v>-1367.5821503333937</v>
      </c>
      <c r="S46" s="52">
        <f t="shared" ca="1" si="16"/>
        <v>-1368.0334299797587</v>
      </c>
      <c r="T46" s="52">
        <f t="shared" ca="1" si="16"/>
        <v>-1368.4869660243555</v>
      </c>
      <c r="U46" s="52">
        <f t="shared" ca="1" si="16"/>
        <v>-1368.9427697491753</v>
      </c>
      <c r="V46" s="52">
        <f t="shared" ca="1" si="16"/>
        <v>-1369.4008524926194</v>
      </c>
      <c r="W46" s="52">
        <f t="shared" ca="1" si="16"/>
        <v>-1369.8612256497806</v>
      </c>
      <c r="X46" s="52">
        <f t="shared" ca="1" si="16"/>
        <v>-1370.3239006727274</v>
      </c>
      <c r="Y46" s="52">
        <f t="shared" ca="1" si="16"/>
        <v>-1370.7888890707891</v>
      </c>
      <c r="Z46" s="52">
        <f t="shared" ca="1" si="16"/>
        <v>-1371.2562024108411</v>
      </c>
      <c r="AA46" s="52">
        <f t="shared" ca="1" si="16"/>
        <v>-1371.7258523175933</v>
      </c>
      <c r="AB46" s="52">
        <f t="shared" ca="1" si="16"/>
        <v>-1372.1978504738793</v>
      </c>
      <c r="AC46" s="52">
        <f t="shared" ca="1" si="16"/>
        <v>-1372.6722086209465</v>
      </c>
      <c r="AD46" s="52">
        <f t="shared" ca="1" si="16"/>
        <v>-1373.1489385587495</v>
      </c>
      <c r="AE46" s="52">
        <f t="shared" ca="1" si="16"/>
        <v>-1373.6280521462413</v>
      </c>
    </row>
    <row r="47" spans="1:32" s="25" customFormat="1" ht="17" customHeight="1">
      <c r="A47" s="44" t="s">
        <v>54</v>
      </c>
      <c r="B47" s="77">
        <f t="shared" ref="B47:AE47" si="17">(B8-B13-B14-B15-B16-B43)/$B$3</f>
        <v>-4.2371480942579014E-3</v>
      </c>
      <c r="C47" s="77">
        <f t="shared" si="17"/>
        <v>-4.2583338347291907E-3</v>
      </c>
      <c r="D47" s="77">
        <f t="shared" si="17"/>
        <v>-4.2796255039028357E-3</v>
      </c>
      <c r="E47" s="77">
        <f t="shared" si="17"/>
        <v>-4.3010236314223495E-3</v>
      </c>
      <c r="F47" s="77">
        <f t="shared" si="17"/>
        <v>-4.322528749579461E-3</v>
      </c>
      <c r="G47" s="77">
        <f t="shared" si="17"/>
        <v>-4.3441413933273569E-3</v>
      </c>
      <c r="H47" s="77">
        <f t="shared" si="17"/>
        <v>-4.3658621002939935E-3</v>
      </c>
      <c r="I47" s="77">
        <f t="shared" si="17"/>
        <v>-4.3876914107954627E-3</v>
      </c>
      <c r="J47" s="77">
        <f t="shared" si="17"/>
        <v>-4.4096298678494399E-3</v>
      </c>
      <c r="K47" s="77">
        <f t="shared" si="17"/>
        <v>-4.4316780171886868E-3</v>
      </c>
      <c r="L47" s="77">
        <f t="shared" si="17"/>
        <v>-4.4538364072746299E-3</v>
      </c>
      <c r="M47" s="77">
        <f t="shared" si="17"/>
        <v>-4.4761055893110021E-3</v>
      </c>
      <c r="N47" s="77">
        <f t="shared" si="17"/>
        <v>-4.4984861172575573E-3</v>
      </c>
      <c r="O47" s="77">
        <f t="shared" si="17"/>
        <v>-4.5209785478438442E-3</v>
      </c>
      <c r="P47" s="77">
        <f t="shared" si="17"/>
        <v>-4.5435834405830626E-3</v>
      </c>
      <c r="Q47" s="77">
        <f t="shared" si="17"/>
        <v>-4.5663013577859771E-3</v>
      </c>
      <c r="R47" s="77">
        <f t="shared" si="17"/>
        <v>-4.5891328645749066E-3</v>
      </c>
      <c r="S47" s="77">
        <f t="shared" si="17"/>
        <v>-4.612078528897781E-3</v>
      </c>
      <c r="T47" s="77">
        <f t="shared" si="17"/>
        <v>-4.6351389215422692E-3</v>
      </c>
      <c r="U47" s="77">
        <f t="shared" si="17"/>
        <v>-4.6583146161499811E-3</v>
      </c>
      <c r="V47" s="77">
        <f t="shared" si="17"/>
        <v>-4.6816061892307297E-3</v>
      </c>
      <c r="W47" s="77">
        <f t="shared" si="17"/>
        <v>-4.7050142201768832E-3</v>
      </c>
      <c r="X47" s="77">
        <f t="shared" si="17"/>
        <v>-4.728539291277767E-3</v>
      </c>
      <c r="Y47" s="77">
        <f t="shared" si="17"/>
        <v>-4.7521819877341552E-3</v>
      </c>
      <c r="Z47" s="77">
        <f t="shared" si="17"/>
        <v>-4.775942897672825E-3</v>
      </c>
      <c r="AA47" s="77">
        <f t="shared" si="17"/>
        <v>-4.7998226121611885E-3</v>
      </c>
      <c r="AB47" s="77">
        <f t="shared" si="17"/>
        <v>-4.8238217252219943E-3</v>
      </c>
      <c r="AC47" s="77">
        <f t="shared" si="17"/>
        <v>-4.8479408338481045E-3</v>
      </c>
      <c r="AD47" s="77">
        <f t="shared" si="17"/>
        <v>-4.8721805380173436E-3</v>
      </c>
      <c r="AE47" s="77">
        <f t="shared" si="17"/>
        <v>-4.8965414407074305E-3</v>
      </c>
    </row>
    <row r="48" spans="1:32" s="20" customFormat="1" ht="15" hidden="1" customHeight="1">
      <c r="A48" s="31" t="s">
        <v>83</v>
      </c>
      <c r="B48" s="52"/>
      <c r="C48" s="52"/>
      <c r="D48" s="52"/>
      <c r="E48" s="52"/>
      <c r="F48" s="79">
        <f>AVERAGE(B47:F47)</f>
        <v>-4.2797319627783468E-3</v>
      </c>
      <c r="G48" s="52"/>
      <c r="H48" s="52"/>
      <c r="I48" s="52"/>
      <c r="J48" s="52"/>
      <c r="K48" s="79">
        <f>AVERAGE(B47:K47)</f>
        <v>-4.3337662603346681E-3</v>
      </c>
      <c r="L48" s="52"/>
      <c r="M48" s="52"/>
      <c r="N48" s="52"/>
      <c r="O48" s="52"/>
      <c r="P48" s="79">
        <f>AVERAGE(B47:P47)</f>
        <v>-4.388710180374452E-3</v>
      </c>
      <c r="Q48" s="52"/>
      <c r="R48" s="52"/>
      <c r="S48" s="52"/>
      <c r="T48" s="52"/>
      <c r="U48" s="79">
        <f>AVERAGE(B47:U47)</f>
        <v>-4.4445809497283845E-3</v>
      </c>
      <c r="V48" s="52"/>
      <c r="W48" s="52"/>
      <c r="X48" s="52"/>
      <c r="Y48" s="52"/>
      <c r="Z48" s="79">
        <f>AVERAGE(B47:Z47)</f>
        <v>-4.5013961432264025E-3</v>
      </c>
      <c r="AA48" s="52"/>
      <c r="AB48" s="52"/>
      <c r="AC48" s="52"/>
      <c r="AD48" s="52"/>
      <c r="AE48" s="79">
        <f>AVERAGE(B47:AE47)</f>
        <v>-4.5591736910205374E-3</v>
      </c>
    </row>
    <row r="49" spans="1:31" s="39" customFormat="1" ht="17" customHeight="1">
      <c r="A49" s="40" t="s">
        <v>40</v>
      </c>
      <c r="B49" s="63" t="s">
        <v>55</v>
      </c>
      <c r="C49" s="64" t="s">
        <v>41</v>
      </c>
      <c r="D49" s="64" t="s">
        <v>42</v>
      </c>
      <c r="E49" s="64" t="s">
        <v>43</v>
      </c>
      <c r="F49" s="64" t="s">
        <v>44</v>
      </c>
      <c r="G49" s="64" t="s">
        <v>45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ht="17" customHeight="1">
      <c r="A50" s="83"/>
      <c r="B50" s="65"/>
      <c r="C50" s="65"/>
      <c r="D50" s="65"/>
      <c r="E50" s="65"/>
      <c r="F50" s="65"/>
      <c r="G50" s="66"/>
    </row>
    <row r="51" spans="1:31" ht="17" customHeight="1">
      <c r="A51" s="83"/>
      <c r="B51" s="65"/>
      <c r="C51" s="65"/>
      <c r="D51" s="65"/>
      <c r="E51" s="65"/>
      <c r="F51" s="65"/>
      <c r="G51" s="66"/>
    </row>
    <row r="52" spans="1:31" ht="17" customHeight="1">
      <c r="A52" s="84"/>
      <c r="B52" s="65"/>
      <c r="C52" s="65"/>
      <c r="D52" s="67"/>
      <c r="E52" s="65"/>
      <c r="F52" s="65"/>
      <c r="G52" s="66"/>
    </row>
    <row r="53" spans="1:31" ht="17" customHeight="1">
      <c r="A53" s="84"/>
      <c r="B53" s="65"/>
      <c r="C53" s="65"/>
      <c r="D53" s="65"/>
      <c r="E53" s="65"/>
      <c r="F53" s="65"/>
      <c r="G53" s="66"/>
    </row>
    <row r="54" spans="1:31" ht="17" customHeight="1">
      <c r="A54" s="84"/>
      <c r="B54" s="65"/>
      <c r="C54" s="65"/>
      <c r="D54" s="65"/>
      <c r="E54" s="65"/>
      <c r="F54" s="65"/>
      <c r="G54" s="66"/>
    </row>
    <row r="55" spans="1:31" ht="17" customHeight="1">
      <c r="A55" s="84"/>
      <c r="B55" s="65"/>
      <c r="C55" s="65"/>
      <c r="D55" s="65"/>
      <c r="E55" s="65"/>
      <c r="F55" s="65"/>
      <c r="G55" s="66"/>
    </row>
    <row r="56" spans="1:31" ht="17" customHeight="1">
      <c r="A56" s="84"/>
      <c r="B56" s="65"/>
      <c r="C56" s="65"/>
      <c r="D56" s="65"/>
      <c r="E56" s="65"/>
      <c r="F56" s="65"/>
      <c r="G56" s="66"/>
    </row>
    <row r="57" spans="1:31" ht="17" customHeight="1">
      <c r="A57" s="84"/>
      <c r="B57" s="65"/>
      <c r="C57" s="65"/>
      <c r="D57" s="65"/>
      <c r="E57" s="65"/>
      <c r="F57" s="65"/>
      <c r="G57" s="66"/>
    </row>
    <row r="58" spans="1:31" ht="17" customHeight="1">
      <c r="A58" s="84"/>
      <c r="B58" s="65"/>
      <c r="C58" s="65"/>
      <c r="D58" s="65"/>
      <c r="E58" s="65"/>
      <c r="F58" s="65"/>
      <c r="G58" s="66"/>
    </row>
    <row r="59" spans="1:31" ht="17" customHeight="1">
      <c r="A59" s="84"/>
      <c r="B59" s="65"/>
      <c r="C59" s="65"/>
      <c r="D59" s="65"/>
      <c r="E59" s="65"/>
      <c r="F59" s="65"/>
      <c r="G59" s="66"/>
    </row>
    <row r="60" spans="1:31" ht="17" customHeight="1">
      <c r="A60" s="84"/>
      <c r="B60" s="65"/>
      <c r="C60" s="65"/>
      <c r="D60" s="65"/>
      <c r="E60" s="65"/>
      <c r="F60" s="65"/>
      <c r="G60" s="66"/>
    </row>
    <row r="61" spans="1:31" ht="17" customHeight="1">
      <c r="A61" s="84"/>
      <c r="B61" s="65"/>
      <c r="C61" s="65"/>
      <c r="D61" s="65"/>
      <c r="E61" s="65"/>
      <c r="F61" s="65"/>
      <c r="G61" s="66"/>
    </row>
    <row r="62" spans="1:31" ht="17" customHeight="1">
      <c r="A62" s="84"/>
      <c r="B62" s="65"/>
      <c r="C62" s="65"/>
      <c r="D62" s="65"/>
      <c r="E62" s="65"/>
      <c r="F62" s="65"/>
      <c r="G62" s="66"/>
    </row>
    <row r="63" spans="1:31" ht="17" customHeight="1">
      <c r="A63" s="84"/>
      <c r="B63" s="65"/>
      <c r="C63" s="65"/>
      <c r="D63" s="65"/>
      <c r="E63" s="65"/>
      <c r="F63" s="65"/>
      <c r="G63" s="66"/>
    </row>
    <row r="64" spans="1:31" ht="17" customHeight="1">
      <c r="A64" s="84"/>
      <c r="B64" s="65"/>
      <c r="C64" s="65"/>
      <c r="D64" s="65"/>
      <c r="E64" s="65"/>
      <c r="F64" s="65"/>
      <c r="G64" s="66"/>
    </row>
    <row r="65" spans="1:7" ht="17" customHeight="1">
      <c r="A65" s="84"/>
      <c r="B65" s="65"/>
      <c r="C65" s="65"/>
      <c r="D65" s="65"/>
      <c r="E65" s="65"/>
      <c r="F65" s="65"/>
      <c r="G65" s="66"/>
    </row>
    <row r="66" spans="1:7" ht="17" customHeight="1">
      <c r="A66" s="84"/>
      <c r="B66" s="65"/>
      <c r="C66" s="65"/>
      <c r="D66" s="65"/>
      <c r="E66" s="65"/>
      <c r="F66" s="65"/>
      <c r="G66" s="66"/>
    </row>
    <row r="67" spans="1:7" ht="17" customHeight="1">
      <c r="A67" s="84"/>
      <c r="B67" s="65"/>
      <c r="C67" s="65"/>
      <c r="D67" s="65"/>
      <c r="E67" s="65"/>
      <c r="F67" s="65"/>
      <c r="G67" s="66"/>
    </row>
    <row r="68" spans="1:7" ht="17" customHeight="1">
      <c r="A68" s="84"/>
      <c r="B68" s="65"/>
      <c r="C68" s="65"/>
      <c r="D68" s="65"/>
      <c r="E68" s="65"/>
      <c r="F68" s="65"/>
      <c r="G68" s="66"/>
    </row>
    <row r="69" spans="1:7" ht="17" customHeight="1">
      <c r="A69" s="84"/>
      <c r="B69" s="65"/>
      <c r="C69" s="65"/>
      <c r="D69" s="65"/>
      <c r="E69" s="65"/>
      <c r="F69" s="65"/>
      <c r="G69" s="66"/>
    </row>
    <row r="70" spans="1:7" ht="17" customHeight="1">
      <c r="A70" s="84"/>
      <c r="B70" s="65"/>
      <c r="C70" s="65"/>
      <c r="D70" s="65"/>
      <c r="E70" s="65"/>
      <c r="F70" s="65"/>
      <c r="G70" s="66"/>
    </row>
    <row r="71" spans="1:7" ht="17" customHeight="1">
      <c r="A71" s="84"/>
      <c r="B71" s="65"/>
      <c r="C71" s="65"/>
      <c r="D71" s="65"/>
      <c r="E71" s="65"/>
      <c r="F71" s="65"/>
      <c r="G71" s="66"/>
    </row>
    <row r="72" spans="1:7" ht="17" customHeight="1">
      <c r="A72" s="84"/>
      <c r="B72" s="65"/>
      <c r="C72" s="65"/>
      <c r="D72" s="65"/>
      <c r="E72" s="65"/>
      <c r="F72" s="65"/>
      <c r="G72" s="66"/>
    </row>
    <row r="73" spans="1:7" ht="17" customHeight="1">
      <c r="A73" s="84" t="str">
        <f>IFERROR(IF(Prêt_Non_Payé*Valeurs_Entrées,Numéro_Paiement,""), "")</f>
        <v/>
      </c>
      <c r="B73" s="65" t="str">
        <f>IFERROR(IF(Prêt_Non_Payé*Valeurs_Entrées,Début_Solde,""), "")</f>
        <v/>
      </c>
      <c r="C73" s="65" t="str">
        <f>IFERROR(IF(Prêt_Non_Payé*Valeurs_Entrées,Mensualité,""), "")</f>
        <v/>
      </c>
      <c r="D73" s="65" t="str">
        <f>IFERROR(IF(Prêt_Non_Payé*Valeurs_Entrées,Capital,""), "")</f>
        <v/>
      </c>
      <c r="E73" s="65" t="str">
        <f>IFERROR(IF(Prêt_Non_Payé*Valeurs_Entrées,Intérêts,""), "")</f>
        <v/>
      </c>
      <c r="F73" s="65" t="str">
        <f>IFERROR(IF(Prêt_Non_Payé*Valeurs_Entrées,Fin_Solde,""), "")</f>
        <v/>
      </c>
      <c r="G73" s="66"/>
    </row>
    <row r="74" spans="1:7" ht="17" customHeight="1">
      <c r="A74" s="84" t="str">
        <f>IFERROR(IF(Prêt_Non_Payé*Valeurs_Entrées,Numéro_Paiement,""), "")</f>
        <v/>
      </c>
      <c r="B74" s="65" t="str">
        <f>IFERROR(IF(Prêt_Non_Payé*Valeurs_Entrées,Début_Solde,""), "")</f>
        <v/>
      </c>
      <c r="C74" s="65" t="str">
        <f>IFERROR(IF(Prêt_Non_Payé*Valeurs_Entrées,Mensualité,""), "")</f>
        <v/>
      </c>
      <c r="D74" s="65" t="str">
        <f>IFERROR(IF(Prêt_Non_Payé*Valeurs_Entrées,Capital,""), "")</f>
        <v/>
      </c>
      <c r="E74" s="65" t="str">
        <f>IFERROR(IF(Prêt_Non_Payé*Valeurs_Entrées,Intérêts,""), "")</f>
        <v/>
      </c>
      <c r="F74" s="65" t="str">
        <f>IFERROR(IF(Prêt_Non_Payé*Valeurs_Entrées,Fin_Solde,""), "")</f>
        <v/>
      </c>
      <c r="G74" s="66"/>
    </row>
    <row r="75" spans="1:7" ht="17" customHeight="1">
      <c r="A75" s="84" t="str">
        <f>IFERROR(IF(Prêt_Non_Payé*Valeurs_Entrées,Numéro_Paiement,""), "")</f>
        <v/>
      </c>
      <c r="B75" s="65" t="str">
        <f>IFERROR(IF(Prêt_Non_Payé*Valeurs_Entrées,Début_Solde,""), "")</f>
        <v/>
      </c>
      <c r="C75" s="65" t="str">
        <f>IFERROR(IF(Prêt_Non_Payé*Valeurs_Entrées,Mensualité,""), "")</f>
        <v/>
      </c>
      <c r="D75" s="65" t="str">
        <f>IFERROR(IF(Prêt_Non_Payé*Valeurs_Entrées,Capital,""), "")</f>
        <v/>
      </c>
      <c r="E75" s="65" t="str">
        <f>IFERROR(IF(Prêt_Non_Payé*Valeurs_Entrées,Intérêts,""), "")</f>
        <v/>
      </c>
      <c r="F75" s="65" t="str">
        <f>IFERROR(IF(Prêt_Non_Payé*Valeurs_Entrées,Fin_Solde,""), "")</f>
        <v/>
      </c>
      <c r="G75" s="68"/>
    </row>
    <row r="76" spans="1:7" ht="17" customHeight="1">
      <c r="A76" s="84" t="str">
        <f>IFERROR(IF(Prêt_Non_Payé*Valeurs_Entrées,Numéro_Paiement,""), "")</f>
        <v/>
      </c>
      <c r="B76" s="65" t="str">
        <f>IFERROR(IF(Prêt_Non_Payé*Valeurs_Entrées,Début_Solde,""), "")</f>
        <v/>
      </c>
      <c r="C76" s="65" t="str">
        <f>IFERROR(IF(Prêt_Non_Payé*Valeurs_Entrées,Mensualité,""), "")</f>
        <v/>
      </c>
      <c r="D76" s="65" t="str">
        <f>IFERROR(IF(Prêt_Non_Payé*Valeurs_Entrées,Capital,""), "")</f>
        <v/>
      </c>
      <c r="E76" s="65" t="str">
        <f>IFERROR(IF(Prêt_Non_Payé*Valeurs_Entrées,Intérêts,""), "")</f>
        <v/>
      </c>
      <c r="F76" s="65" t="str">
        <f>IFERROR(IF(Prêt_Non_Payé*Valeurs_Entrées,Fin_Solde,""), "")</f>
        <v/>
      </c>
      <c r="G76" s="68"/>
    </row>
    <row r="77" spans="1:7" ht="17" customHeight="1">
      <c r="A77" s="84" t="str">
        <f>IFERROR(IF(Prêt_Non_Payé*Valeurs_Entrées,Numéro_Paiement,""), "")</f>
        <v/>
      </c>
      <c r="B77" s="65" t="str">
        <f>IFERROR(IF(Prêt_Non_Payé*Valeurs_Entrées,Début_Solde,""), "")</f>
        <v/>
      </c>
      <c r="C77" s="65" t="str">
        <f>IFERROR(IF(Prêt_Non_Payé*Valeurs_Entrées,Mensualité,""), "")</f>
        <v/>
      </c>
      <c r="D77" s="65" t="str">
        <f>IFERROR(IF(Prêt_Non_Payé*Valeurs_Entrées,Capital,""), "")</f>
        <v/>
      </c>
      <c r="E77" s="65" t="str">
        <f>IFERROR(IF(Prêt_Non_Payé*Valeurs_Entrées,Intérêts,""), "")</f>
        <v/>
      </c>
      <c r="F77" s="65" t="str">
        <f>IFERROR(IF(Prêt_Non_Payé*Valeurs_Entrées,Fin_Solde,""), "")</f>
        <v/>
      </c>
      <c r="G77" s="68"/>
    </row>
    <row r="78" spans="1:7" ht="17" customHeight="1">
      <c r="A78" s="84" t="str">
        <f>IFERROR(IF(Prêt_Non_Payé*Valeurs_Entrées,Numéro_Paiement,""), "")</f>
        <v/>
      </c>
      <c r="B78" s="65" t="str">
        <f>IFERROR(IF(Prêt_Non_Payé*Valeurs_Entrées,Début_Solde,""), "")</f>
        <v/>
      </c>
      <c r="C78" s="65" t="str">
        <f>IFERROR(IF(Prêt_Non_Payé*Valeurs_Entrées,Mensualité,""), "")</f>
        <v/>
      </c>
      <c r="D78" s="65" t="str">
        <f>IFERROR(IF(Prêt_Non_Payé*Valeurs_Entrées,Capital,""), "")</f>
        <v/>
      </c>
      <c r="E78" s="65" t="str">
        <f>IFERROR(IF(Prêt_Non_Payé*Valeurs_Entrées,Intérêts,""), "")</f>
        <v/>
      </c>
      <c r="F78" s="65" t="str">
        <f>IFERROR(IF(Prêt_Non_Payé*Valeurs_Entrées,Fin_Solde,""), "")</f>
        <v/>
      </c>
      <c r="G78" s="68"/>
    </row>
    <row r="79" spans="1:7" ht="17" customHeight="1">
      <c r="A79" s="84" t="str">
        <f>IFERROR(IF(Prêt_Non_Payé*Valeurs_Entrées,Numéro_Paiement,""), "")</f>
        <v/>
      </c>
      <c r="B79" s="65" t="str">
        <f>IFERROR(IF(Prêt_Non_Payé*Valeurs_Entrées,Début_Solde,""), "")</f>
        <v/>
      </c>
      <c r="C79" s="65" t="str">
        <f>IFERROR(IF(Prêt_Non_Payé*Valeurs_Entrées,Mensualité,""), "")</f>
        <v/>
      </c>
      <c r="D79" s="65" t="str">
        <f>IFERROR(IF(Prêt_Non_Payé*Valeurs_Entrées,Capital,""), "")</f>
        <v/>
      </c>
      <c r="E79" s="65" t="str">
        <f>IFERROR(IF(Prêt_Non_Payé*Valeurs_Entrées,Intérêts,""), "")</f>
        <v/>
      </c>
      <c r="F79" s="65" t="str">
        <f>IFERROR(IF(Prêt_Non_Payé*Valeurs_Entrées,Fin_Solde,""), "")</f>
        <v/>
      </c>
      <c r="G79" s="68"/>
    </row>
    <row r="80" spans="1:7" ht="17" customHeight="1">
      <c r="A80" s="84" t="str">
        <f>IFERROR(IF(Prêt_Non_Payé*Valeurs_Entrées,Numéro_Paiement,""), "")</f>
        <v/>
      </c>
      <c r="B80" s="65" t="str">
        <f>IFERROR(IF(Prêt_Non_Payé*Valeurs_Entrées,Début_Solde,""), "")</f>
        <v/>
      </c>
      <c r="C80" s="65" t="str">
        <f>IFERROR(IF(Prêt_Non_Payé*Valeurs_Entrées,Mensualité,""), "")</f>
        <v/>
      </c>
      <c r="D80" s="65" t="str">
        <f>IFERROR(IF(Prêt_Non_Payé*Valeurs_Entrées,Capital,""), "")</f>
        <v/>
      </c>
      <c r="E80" s="65" t="str">
        <f>IFERROR(IF(Prêt_Non_Payé*Valeurs_Entrées,Intérêts,""), "")</f>
        <v/>
      </c>
      <c r="F80" s="65" t="str">
        <f>IFERROR(IF(Prêt_Non_Payé*Valeurs_Entrées,Fin_Solde,""), "")</f>
        <v/>
      </c>
      <c r="G80" s="68"/>
    </row>
    <row r="81" spans="1:7" ht="17" customHeight="1">
      <c r="A81" s="84" t="str">
        <f>IFERROR(IF(Prêt_Non_Payé*Valeurs_Entrées,Numéro_Paiement,""), "")</f>
        <v/>
      </c>
      <c r="B81" s="65" t="str">
        <f>IFERROR(IF(Prêt_Non_Payé*Valeurs_Entrées,Début_Solde,""), "")</f>
        <v/>
      </c>
      <c r="C81" s="65" t="str">
        <f>IFERROR(IF(Prêt_Non_Payé*Valeurs_Entrées,Mensualité,""), "")</f>
        <v/>
      </c>
      <c r="D81" s="65" t="str">
        <f>IFERROR(IF(Prêt_Non_Payé*Valeurs_Entrées,Capital,""), "")</f>
        <v/>
      </c>
      <c r="E81" s="65" t="str">
        <f>IFERROR(IF(Prêt_Non_Payé*Valeurs_Entrées,Intérêts,""), "")</f>
        <v/>
      </c>
      <c r="F81" s="65" t="str">
        <f>IFERROR(IF(Prêt_Non_Payé*Valeurs_Entrées,Fin_Solde,""), "")</f>
        <v/>
      </c>
      <c r="G81" s="68"/>
    </row>
    <row r="82" spans="1:7" ht="17" customHeight="1">
      <c r="A82" s="84" t="str">
        <f>IFERROR(IF(Prêt_Non_Payé*Valeurs_Entrées,Numéro_Paiement,""), "")</f>
        <v/>
      </c>
      <c r="B82" s="65" t="str">
        <f>IFERROR(IF(Prêt_Non_Payé*Valeurs_Entrées,Début_Solde,""), "")</f>
        <v/>
      </c>
      <c r="C82" s="65" t="str">
        <f>IFERROR(IF(Prêt_Non_Payé*Valeurs_Entrées,Mensualité,""), "")</f>
        <v/>
      </c>
      <c r="D82" s="65" t="str">
        <f>IFERROR(IF(Prêt_Non_Payé*Valeurs_Entrées,Capital,""), "")</f>
        <v/>
      </c>
      <c r="E82" s="65" t="str">
        <f>IFERROR(IF(Prêt_Non_Payé*Valeurs_Entrées,Intérêts,""), "")</f>
        <v/>
      </c>
      <c r="F82" s="65" t="str">
        <f>IFERROR(IF(Prêt_Non_Payé*Valeurs_Entrées,Fin_Solde,""), "")</f>
        <v/>
      </c>
      <c r="G82" s="68"/>
    </row>
    <row r="83" spans="1:7" ht="17" customHeight="1">
      <c r="A83" s="84" t="str">
        <f>IFERROR(IF(Prêt_Non_Payé*Valeurs_Entrées,Numéro_Paiement,""), "")</f>
        <v/>
      </c>
      <c r="B83" s="65" t="str">
        <f>IFERROR(IF(Prêt_Non_Payé*Valeurs_Entrées,Début_Solde,""), "")</f>
        <v/>
      </c>
      <c r="C83" s="65" t="str">
        <f>IFERROR(IF(Prêt_Non_Payé*Valeurs_Entrées,Mensualité,""), "")</f>
        <v/>
      </c>
      <c r="D83" s="65" t="str">
        <f>IFERROR(IF(Prêt_Non_Payé*Valeurs_Entrées,Capital,""), "")</f>
        <v/>
      </c>
      <c r="E83" s="65" t="str">
        <f>IFERROR(IF(Prêt_Non_Payé*Valeurs_Entrées,Intérêts,""), "")</f>
        <v/>
      </c>
      <c r="F83" s="65" t="str">
        <f>IFERROR(IF(Prêt_Non_Payé*Valeurs_Entrées,Fin_Solde,""), "")</f>
        <v/>
      </c>
      <c r="G83" s="68"/>
    </row>
    <row r="84" spans="1:7" ht="17" customHeight="1">
      <c r="A84" s="84" t="str">
        <f>IFERROR(IF(Prêt_Non_Payé*Valeurs_Entrées,Numéro_Paiement,""), "")</f>
        <v/>
      </c>
      <c r="B84" s="65" t="str">
        <f>IFERROR(IF(Prêt_Non_Payé*Valeurs_Entrées,Début_Solde,""), "")</f>
        <v/>
      </c>
      <c r="C84" s="65" t="str">
        <f>IFERROR(IF(Prêt_Non_Payé*Valeurs_Entrées,Mensualité,""), "")</f>
        <v/>
      </c>
      <c r="D84" s="65" t="str">
        <f>IFERROR(IF(Prêt_Non_Payé*Valeurs_Entrées,Capital,""), "")</f>
        <v/>
      </c>
      <c r="E84" s="65" t="str">
        <f>IFERROR(IF(Prêt_Non_Payé*Valeurs_Entrées,Intérêts,""), "")</f>
        <v/>
      </c>
      <c r="F84" s="65" t="str">
        <f>IFERROR(IF(Prêt_Non_Payé*Valeurs_Entrées,Fin_Solde,""), "")</f>
        <v/>
      </c>
      <c r="G84" s="68"/>
    </row>
    <row r="85" spans="1:7" ht="17" customHeight="1">
      <c r="A85" s="84" t="str">
        <f>IFERROR(IF(Prêt_Non_Payé*Valeurs_Entrées,Numéro_Paiement,""), "")</f>
        <v/>
      </c>
      <c r="B85" s="65" t="str">
        <f>IFERROR(IF(Prêt_Non_Payé*Valeurs_Entrées,Début_Solde,""), "")</f>
        <v/>
      </c>
      <c r="C85" s="65" t="str">
        <f>IFERROR(IF(Prêt_Non_Payé*Valeurs_Entrées,Mensualité,""), "")</f>
        <v/>
      </c>
      <c r="D85" s="65" t="str">
        <f>IFERROR(IF(Prêt_Non_Payé*Valeurs_Entrées,Capital,""), "")</f>
        <v/>
      </c>
      <c r="E85" s="65" t="str">
        <f>IFERROR(IF(Prêt_Non_Payé*Valeurs_Entrées,Intérêts,""), "")</f>
        <v/>
      </c>
      <c r="F85" s="65" t="str">
        <f>IFERROR(IF(Prêt_Non_Payé*Valeurs_Entrées,Fin_Solde,""), "")</f>
        <v/>
      </c>
      <c r="G85" s="68"/>
    </row>
    <row r="86" spans="1:7" ht="17" customHeight="1">
      <c r="A86" s="84" t="str">
        <f>IFERROR(IF(Prêt_Non_Payé*Valeurs_Entrées,Numéro_Paiement,""), "")</f>
        <v/>
      </c>
      <c r="B86" s="65" t="str">
        <f>IFERROR(IF(Prêt_Non_Payé*Valeurs_Entrées,Début_Solde,""), "")</f>
        <v/>
      </c>
      <c r="C86" s="65" t="str">
        <f>IFERROR(IF(Prêt_Non_Payé*Valeurs_Entrées,Mensualité,""), "")</f>
        <v/>
      </c>
      <c r="D86" s="65" t="str">
        <f>IFERROR(IF(Prêt_Non_Payé*Valeurs_Entrées,Capital,""), "")</f>
        <v/>
      </c>
      <c r="E86" s="65" t="str">
        <f>IFERROR(IF(Prêt_Non_Payé*Valeurs_Entrées,Intérêts,""), "")</f>
        <v/>
      </c>
      <c r="F86" s="65" t="str">
        <f>IFERROR(IF(Prêt_Non_Payé*Valeurs_Entrées,Fin_Solde,""), "")</f>
        <v/>
      </c>
      <c r="G86" s="68"/>
    </row>
    <row r="87" spans="1:7" ht="17" customHeight="1">
      <c r="A87" s="84" t="str">
        <f>IFERROR(IF(Prêt_Non_Payé*Valeurs_Entrées,Numéro_Paiement,""), "")</f>
        <v/>
      </c>
      <c r="B87" s="65" t="str">
        <f>IFERROR(IF(Prêt_Non_Payé*Valeurs_Entrées,Début_Solde,""), "")</f>
        <v/>
      </c>
      <c r="C87" s="65" t="str">
        <f>IFERROR(IF(Prêt_Non_Payé*Valeurs_Entrées,Mensualité,""), "")</f>
        <v/>
      </c>
      <c r="D87" s="65" t="str">
        <f>IFERROR(IF(Prêt_Non_Payé*Valeurs_Entrées,Capital,""), "")</f>
        <v/>
      </c>
      <c r="E87" s="65" t="str">
        <f>IFERROR(IF(Prêt_Non_Payé*Valeurs_Entrées,Intérêts,""), "")</f>
        <v/>
      </c>
      <c r="F87" s="65" t="str">
        <f>IFERROR(IF(Prêt_Non_Payé*Valeurs_Entrées,Fin_Solde,""), "")</f>
        <v/>
      </c>
      <c r="G87" s="68"/>
    </row>
    <row r="88" spans="1:7" ht="17" customHeight="1">
      <c r="A88" s="84" t="str">
        <f>IFERROR(IF(Prêt_Non_Payé*Valeurs_Entrées,Numéro_Paiement,""), "")</f>
        <v/>
      </c>
      <c r="B88" s="65" t="str">
        <f>IFERROR(IF(Prêt_Non_Payé*Valeurs_Entrées,Début_Solde,""), "")</f>
        <v/>
      </c>
      <c r="C88" s="65" t="str">
        <f>IFERROR(IF(Prêt_Non_Payé*Valeurs_Entrées,Mensualité,""), "")</f>
        <v/>
      </c>
      <c r="D88" s="65" t="str">
        <f>IFERROR(IF(Prêt_Non_Payé*Valeurs_Entrées,Capital,""), "")</f>
        <v/>
      </c>
      <c r="E88" s="65" t="str">
        <f>IFERROR(IF(Prêt_Non_Payé*Valeurs_Entrées,Intérêts,""), "")</f>
        <v/>
      </c>
      <c r="F88" s="65" t="str">
        <f>IFERROR(IF(Prêt_Non_Payé*Valeurs_Entrées,Fin_Solde,""), "")</f>
        <v/>
      </c>
      <c r="G88" s="68"/>
    </row>
    <row r="89" spans="1:7" ht="17" customHeight="1">
      <c r="A89" s="84" t="str">
        <f>IFERROR(IF(Prêt_Non_Payé*Valeurs_Entrées,Numéro_Paiement,""), "")</f>
        <v/>
      </c>
      <c r="B89" s="65" t="str">
        <f>IFERROR(IF(Prêt_Non_Payé*Valeurs_Entrées,Début_Solde,""), "")</f>
        <v/>
      </c>
      <c r="C89" s="65" t="str">
        <f>IFERROR(IF(Prêt_Non_Payé*Valeurs_Entrées,Mensualité,""), "")</f>
        <v/>
      </c>
      <c r="D89" s="65" t="str">
        <f>IFERROR(IF(Prêt_Non_Payé*Valeurs_Entrées,Capital,""), "")</f>
        <v/>
      </c>
      <c r="E89" s="65" t="str">
        <f>IFERROR(IF(Prêt_Non_Payé*Valeurs_Entrées,Intérêts,""), "")</f>
        <v/>
      </c>
      <c r="F89" s="65" t="str">
        <f>IFERROR(IF(Prêt_Non_Payé*Valeurs_Entrées,Fin_Solde,""), "")</f>
        <v/>
      </c>
      <c r="G89" s="68"/>
    </row>
  </sheetData>
  <sheetProtection algorithmName="SHA-512" hashValue="ixoR7rI4F1O7ebHnlTh0zyZvXbe5hdi4wME6wx9DPVOBR8351Z+ylU7cYnxPJNLrmNJBk4y6FE9TXrksOdJ+Ow==" saltValue="fRN6GKA0VbHAW9E8Wk7QNg==" spinCount="100000" sheet="1" objects="1" scenarios="1"/>
  <conditionalFormatting sqref="A50:A89">
    <cfRule type="expression" dxfId="19" priority="12" stopIfTrue="1">
      <formula>NOT(Prêt_Non_Payé)</formula>
    </cfRule>
    <cfRule type="expression" dxfId="18" priority="13" stopIfTrue="1">
      <formula>IF(ROW(A50)=Dernière_Ligne,TRUE,FALSE)</formula>
    </cfRule>
  </conditionalFormatting>
  <conditionalFormatting sqref="B50:E89">
    <cfRule type="expression" dxfId="17" priority="10" stopIfTrue="1">
      <formula>NOT(Prêt_Non_Payé)</formula>
    </cfRule>
    <cfRule type="expression" dxfId="16" priority="11" stopIfTrue="1">
      <formula>IF(ROW(B50)=Dernière_Ligne,TRUE,FALSE)</formula>
    </cfRule>
  </conditionalFormatting>
  <conditionalFormatting sqref="B18:AE18">
    <cfRule type="cellIs" dxfId="15" priority="8" operator="greaterThan">
      <formula>0</formula>
    </cfRule>
    <cfRule type="cellIs" dxfId="14" priority="9" operator="lessThan">
      <formula>0</formula>
    </cfRule>
  </conditionalFormatting>
  <conditionalFormatting sqref="B26:AE27">
    <cfRule type="cellIs" dxfId="13" priority="4" operator="greaterThan">
      <formula>0</formula>
    </cfRule>
    <cfRule type="cellIs" dxfId="12" priority="5" operator="lessThan">
      <formula>0</formula>
    </cfRule>
  </conditionalFormatting>
  <conditionalFormatting sqref="B33:AE33">
    <cfRule type="cellIs" dxfId="11" priority="3" operator="lessThan">
      <formula>0</formula>
    </cfRule>
  </conditionalFormatting>
  <conditionalFormatting sqref="B36:AE37">
    <cfRule type="cellIs" dxfId="10" priority="1" operator="lessThan">
      <formula>0</formula>
    </cfRule>
  </conditionalFormatting>
  <conditionalFormatting sqref="B45:AE46">
    <cfRule type="cellIs" dxfId="9" priority="6" operator="lessThan">
      <formula>0</formula>
    </cfRule>
    <cfRule type="cellIs" dxfId="8" priority="7" operator="greaterThan">
      <formula>0</formula>
    </cfRule>
  </conditionalFormatting>
  <conditionalFormatting sqref="F50:F89">
    <cfRule type="expression" dxfId="7" priority="14" stopIfTrue="1">
      <formula>NOT(Prêt_Non_Payé)</formula>
    </cfRule>
    <cfRule type="expression" dxfId="6" priority="15" stopIfTrue="1">
      <formula>IF(ROW(F50)=Dernière_Ligne,TRUE,FALSE)</formula>
    </cfRule>
  </conditionalFormatting>
  <printOptions horizontalCentered="1"/>
  <pageMargins left="0.5" right="0.5" top="1" bottom="1" header="0.5" footer="0.5"/>
  <pageSetup paperSize="9" scale="93" fitToHeight="0" orientation="portrait" r:id="rId1"/>
  <headerFooter differentFirst="1">
    <oddFooter>Page &amp;P of &amp;N</oddFooter>
  </headerFooter>
  <rowBreaks count="1" manualBreakCount="1">
    <brk id="68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AA8C-3551-6148-ABCC-F686ED8F0071}">
  <sheetPr codeName="Feuil6">
    <tabColor rgb="FF2E2E7B"/>
    <pageSetUpPr fitToPage="1"/>
  </sheetPr>
  <dimension ref="B1:J374"/>
  <sheetViews>
    <sheetView showGridLines="0" zoomScaleNormal="100" workbookViewId="0">
      <selection activeCell="H5" sqref="H5"/>
    </sheetView>
  </sheetViews>
  <sheetFormatPr baseColWidth="10" defaultColWidth="9" defaultRowHeight="17" customHeight="1"/>
  <cols>
    <col min="1" max="1" width="2.6875" style="10" customWidth="1"/>
    <col min="2" max="2" width="3.3125" style="28" customWidth="1"/>
    <col min="3" max="3" width="1.3125" style="10" customWidth="1"/>
    <col min="4" max="9" width="15.3125" style="10" customWidth="1"/>
    <col min="10" max="10" width="15.3125" style="35" customWidth="1"/>
    <col min="11" max="29" width="13.8125" style="10" customWidth="1"/>
    <col min="30" max="16384" width="9" style="10"/>
  </cols>
  <sheetData>
    <row r="1" spans="2:10" ht="17" customHeight="1">
      <c r="D1" s="9"/>
      <c r="E1" s="9"/>
      <c r="F1" s="9"/>
      <c r="G1" s="9"/>
      <c r="H1" s="9"/>
    </row>
    <row r="2" spans="2:10" s="20" customFormat="1" ht="17" customHeight="1">
      <c r="B2" s="29"/>
      <c r="D2" s="149" t="s">
        <v>0</v>
      </c>
      <c r="E2" s="149"/>
      <c r="F2" s="149"/>
      <c r="G2" s="149"/>
      <c r="H2" s="149"/>
      <c r="I2" s="149"/>
      <c r="J2" s="149"/>
    </row>
    <row r="3" spans="2:10" ht="17" customHeight="1">
      <c r="F3" s="11"/>
      <c r="G3" s="12" t="s">
        <v>1</v>
      </c>
    </row>
    <row r="4" spans="2:10" ht="17" customHeight="1">
      <c r="D4" s="150" t="s">
        <v>2</v>
      </c>
      <c r="E4" s="150"/>
      <c r="F4" s="150"/>
      <c r="G4" s="14">
        <f>Projet!C24</f>
        <v>232520</v>
      </c>
    </row>
    <row r="5" spans="2:10" ht="17" customHeight="1">
      <c r="D5" s="150" t="s">
        <v>3</v>
      </c>
      <c r="E5" s="150"/>
      <c r="F5" s="150"/>
      <c r="G5" s="15">
        <f>Projet!C29</f>
        <v>0.04</v>
      </c>
    </row>
    <row r="6" spans="2:10" ht="17" customHeight="1">
      <c r="D6" s="150" t="s">
        <v>4</v>
      </c>
      <c r="E6" s="150"/>
      <c r="F6" s="150"/>
      <c r="G6" s="16" t="str">
        <f>Projet!C28</f>
        <v>25</v>
      </c>
    </row>
    <row r="7" spans="2:10" ht="17" customHeight="1">
      <c r="D7" s="150" t="s">
        <v>5</v>
      </c>
      <c r="E7" s="150"/>
      <c r="F7" s="150"/>
      <c r="G7" s="17">
        <f ca="1">TODAY()</f>
        <v>45302</v>
      </c>
    </row>
    <row r="8" spans="2:10" ht="17" customHeight="1">
      <c r="D8" s="13"/>
      <c r="E8" s="13"/>
      <c r="F8" s="13"/>
    </row>
    <row r="9" spans="2:10" ht="17" customHeight="1">
      <c r="D9" s="150" t="s">
        <v>6</v>
      </c>
      <c r="E9" s="150"/>
      <c r="F9" s="150"/>
      <c r="G9" s="18">
        <f ca="1">IFERROR(IF(Valeurs_Entrées,Mensualité,""), "")</f>
        <v>1227.3262210603918</v>
      </c>
    </row>
    <row r="10" spans="2:10" ht="17" customHeight="1">
      <c r="D10" s="150" t="s">
        <v>7</v>
      </c>
      <c r="E10" s="150"/>
      <c r="F10" s="150"/>
      <c r="G10" s="19">
        <f ca="1">IFERROR(IF(Valeurs_Entrées,Durée_Prêt*12,""), "")</f>
        <v>300</v>
      </c>
    </row>
    <row r="11" spans="2:10" ht="17" customHeight="1">
      <c r="D11" s="150" t="s">
        <v>8</v>
      </c>
      <c r="E11" s="150"/>
      <c r="F11" s="150"/>
      <c r="G11" s="18">
        <f ca="1">IFERROR(IF(Valeurs_Entrées,Coût_Total-Montant_du_prêt,""), "")</f>
        <v>135677.86631811754</v>
      </c>
    </row>
    <row r="12" spans="2:10" ht="17" customHeight="1">
      <c r="D12" s="150" t="s">
        <v>9</v>
      </c>
      <c r="E12" s="150"/>
      <c r="F12" s="150"/>
      <c r="G12" s="18">
        <f ca="1">IFERROR(IF(Valeurs_Entrées,Mensualité*Nombre_de_paiements,""), "")</f>
        <v>368197.86631811754</v>
      </c>
    </row>
    <row r="13" spans="2:10" ht="17" customHeight="1">
      <c r="D13" s="13"/>
      <c r="E13" s="13"/>
      <c r="F13" s="13"/>
      <c r="G13" s="21"/>
    </row>
    <row r="14" spans="2:10" ht="17" customHeight="1">
      <c r="C14" s="9"/>
      <c r="D14" s="22" t="s">
        <v>10</v>
      </c>
      <c r="E14" s="22" t="s">
        <v>11</v>
      </c>
      <c r="F14" s="22" t="s">
        <v>12</v>
      </c>
      <c r="G14" s="22" t="s">
        <v>13</v>
      </c>
      <c r="H14" s="22" t="s">
        <v>14</v>
      </c>
      <c r="I14" s="22" t="s">
        <v>15</v>
      </c>
      <c r="J14" s="36" t="s">
        <v>16</v>
      </c>
    </row>
    <row r="15" spans="2:10" ht="17" customHeight="1">
      <c r="D15" s="16">
        <f ca="1">IFERROR(IF(Prêt_Non_Payé*Valeurs_Entrées,Numéro_Paiement,""), "")</f>
        <v>1</v>
      </c>
      <c r="E15" s="17">
        <f ca="1">IFERROR(IF(Prêt_Non_Payé*Valeurs_Entrées,Paiement_Date,""), "")</f>
        <v>45333</v>
      </c>
      <c r="F15" s="14">
        <f ca="1">IFERROR(IF(Prêt_Non_Payé*Valeurs_Entrées,Début_Solde,""), "")</f>
        <v>232520</v>
      </c>
      <c r="G15" s="14">
        <f ca="1">IFERROR(IF(Prêt_Non_Payé*Valeurs_Entrées,Mensualité,""), "")</f>
        <v>1227.3262210603918</v>
      </c>
      <c r="H15" s="14">
        <f ca="1">IFERROR(IF(Prêt_Non_Payé*Valeurs_Entrées,Capital,""), "")</f>
        <v>452.25955439372507</v>
      </c>
      <c r="I15" s="14">
        <f ca="1">IFERROR(IF(Prêt_Non_Payé*Valeurs_Entrées,Intérêts,""), "")</f>
        <v>775.06666666666672</v>
      </c>
      <c r="J15" s="18">
        <f ca="1">IFERROR(IF(Prêt_Non_Payé*Valeurs_Entrées,Fin_Solde,""), "")</f>
        <v>232067.74044560626</v>
      </c>
    </row>
    <row r="16" spans="2:10" ht="17" customHeight="1">
      <c r="D16" s="16">
        <f ca="1">IFERROR(IF(Prêt_Non_Payé*Valeurs_Entrées,Numéro_Paiement,""), "")</f>
        <v>2</v>
      </c>
      <c r="E16" s="17">
        <f ca="1">IFERROR(IF(Prêt_Non_Payé*Valeurs_Entrées,Paiement_Date,""), "")</f>
        <v>45362</v>
      </c>
      <c r="F16" s="14">
        <f ca="1">IFERROR(IF(Prêt_Non_Payé*Valeurs_Entrées,Début_Solde,""), "")</f>
        <v>232067.74044560626</v>
      </c>
      <c r="G16" s="14">
        <f ca="1">IFERROR(IF(Prêt_Non_Payé*Valeurs_Entrées,Mensualité,""), "")</f>
        <v>1227.3262210603918</v>
      </c>
      <c r="H16" s="14">
        <f ca="1">IFERROR(IF(Prêt_Non_Payé*Valeurs_Entrées,Capital,""), "")</f>
        <v>453.76708624170408</v>
      </c>
      <c r="I16" s="14">
        <f ca="1">IFERROR(IF(Prêt_Non_Payé*Valeurs_Entrées,Intérêts,""), "")</f>
        <v>773.55913481868788</v>
      </c>
      <c r="J16" s="18">
        <f ca="1">IFERROR(IF(Prêt_Non_Payé*Valeurs_Entrées,Fin_Solde,""), "")</f>
        <v>231613.97335936455</v>
      </c>
    </row>
    <row r="17" spans="2:10" ht="17" customHeight="1">
      <c r="D17" s="16">
        <f ca="1">IFERROR(IF(Prêt_Non_Payé*Valeurs_Entrées,Numéro_Paiement,""), "")</f>
        <v>3</v>
      </c>
      <c r="E17" s="17">
        <f ca="1">IFERROR(IF(Prêt_Non_Payé*Valeurs_Entrées,Paiement_Date,""), "")</f>
        <v>45393</v>
      </c>
      <c r="F17" s="14">
        <f ca="1">IFERROR(IF(Prêt_Non_Payé*Valeurs_Entrées,Début_Solde,""), "")</f>
        <v>231613.97335936455</v>
      </c>
      <c r="G17" s="14">
        <f ca="1">IFERROR(IF(Prêt_Non_Payé*Valeurs_Entrées,Mensualité,""), "")</f>
        <v>1227.3262210603918</v>
      </c>
      <c r="H17" s="14">
        <f ca="1">IFERROR(IF(Prêt_Non_Payé*Valeurs_Entrées,Capital,""), "")</f>
        <v>455.27964319584305</v>
      </c>
      <c r="I17" s="14">
        <f ca="1">IFERROR(IF(Prêt_Non_Payé*Valeurs_Entrées,Intérêts,""), "")</f>
        <v>772.04657786454879</v>
      </c>
      <c r="J17" s="18">
        <f ca="1">IFERROR(IF(Prêt_Non_Payé*Valeurs_Entrées,Fin_Solde,""), "")</f>
        <v>231158.69371616869</v>
      </c>
    </row>
    <row r="18" spans="2:10" ht="17" customHeight="1">
      <c r="D18" s="16">
        <f ca="1">IFERROR(IF(Prêt_Non_Payé*Valeurs_Entrées,Numéro_Paiement,""), "")</f>
        <v>4</v>
      </c>
      <c r="E18" s="17">
        <f ca="1">IFERROR(IF(Prêt_Non_Payé*Valeurs_Entrées,Paiement_Date,""), "")</f>
        <v>45423</v>
      </c>
      <c r="F18" s="14">
        <f ca="1">IFERROR(IF(Prêt_Non_Payé*Valeurs_Entrées,Début_Solde,""), "")</f>
        <v>231158.69371616869</v>
      </c>
      <c r="G18" s="14">
        <f ca="1">IFERROR(IF(Prêt_Non_Payé*Valeurs_Entrées,Mensualité,""), "")</f>
        <v>1227.3262210603918</v>
      </c>
      <c r="H18" s="14">
        <f ca="1">IFERROR(IF(Prêt_Non_Payé*Valeurs_Entrées,Capital,""), "")</f>
        <v>456.79724200649588</v>
      </c>
      <c r="I18" s="14">
        <f ca="1">IFERROR(IF(Prêt_Non_Payé*Valeurs_Entrées,Intérêts,""), "")</f>
        <v>770.52897905389591</v>
      </c>
      <c r="J18" s="18">
        <f ca="1">IFERROR(IF(Prêt_Non_Payé*Valeurs_Entrées,Fin_Solde,""), "")</f>
        <v>230701.89647416217</v>
      </c>
    </row>
    <row r="19" spans="2:10" ht="17" customHeight="1">
      <c r="D19" s="16">
        <f ca="1">IFERROR(IF(Prêt_Non_Payé*Valeurs_Entrées,Numéro_Paiement,""), "")</f>
        <v>5</v>
      </c>
      <c r="E19" s="17">
        <f ca="1">IFERROR(IF(Prêt_Non_Payé*Valeurs_Entrées,Paiement_Date,""), "")</f>
        <v>45454</v>
      </c>
      <c r="F19" s="14">
        <f ca="1">IFERROR(IF(Prêt_Non_Payé*Valeurs_Entrées,Début_Solde,""), "")</f>
        <v>230701.89647416217</v>
      </c>
      <c r="G19" s="14">
        <f ca="1">IFERROR(IF(Prêt_Non_Payé*Valeurs_Entrées,Mensualité,""), "")</f>
        <v>1227.3262210603918</v>
      </c>
      <c r="H19" s="14">
        <f ca="1">IFERROR(IF(Prêt_Non_Payé*Valeurs_Entrées,Capital,""), "")</f>
        <v>458.31989947985085</v>
      </c>
      <c r="I19" s="14">
        <f ca="1">IFERROR(IF(Prêt_Non_Payé*Valeurs_Entrées,Intérêts,""), "")</f>
        <v>769.00632158054111</v>
      </c>
      <c r="J19" s="18">
        <f ca="1">IFERROR(IF(Prêt_Non_Payé*Valeurs_Entrées,Fin_Solde,""), "")</f>
        <v>230243.57657468235</v>
      </c>
    </row>
    <row r="20" spans="2:10" ht="17" customHeight="1">
      <c r="D20" s="16">
        <f ca="1">IFERROR(IF(Prêt_Non_Payé*Valeurs_Entrées,Numéro_Paiement,""), "")</f>
        <v>6</v>
      </c>
      <c r="E20" s="17">
        <f ca="1">IFERROR(IF(Prêt_Non_Payé*Valeurs_Entrées,Paiement_Date,""), "")</f>
        <v>45484</v>
      </c>
      <c r="F20" s="14">
        <f ca="1">IFERROR(IF(Prêt_Non_Payé*Valeurs_Entrées,Début_Solde,""), "")</f>
        <v>230243.57657468235</v>
      </c>
      <c r="G20" s="14">
        <f ca="1">IFERROR(IF(Prêt_Non_Payé*Valeurs_Entrées,Mensualité,""), "")</f>
        <v>1227.3262210603918</v>
      </c>
      <c r="H20" s="14">
        <f ca="1">IFERROR(IF(Prêt_Non_Payé*Valeurs_Entrées,Capital,""), "")</f>
        <v>459.84763247811702</v>
      </c>
      <c r="I20" s="14">
        <f ca="1">IFERROR(IF(Prêt_Non_Payé*Valeurs_Entrées,Intérêts,""), "")</f>
        <v>767.47858858227482</v>
      </c>
      <c r="J20" s="18">
        <f ca="1">IFERROR(IF(Prêt_Non_Payé*Valeurs_Entrées,Fin_Solde,""), "")</f>
        <v>229783.72894220418</v>
      </c>
    </row>
    <row r="21" spans="2:10" ht="17" customHeight="1">
      <c r="D21" s="16">
        <f ca="1">IFERROR(IF(Prêt_Non_Payé*Valeurs_Entrées,Numéro_Paiement,""), "")</f>
        <v>7</v>
      </c>
      <c r="E21" s="17">
        <f ca="1">IFERROR(IF(Prêt_Non_Payé*Valeurs_Entrées,Paiement_Date,""), "")</f>
        <v>45515</v>
      </c>
      <c r="F21" s="14">
        <f ca="1">IFERROR(IF(Prêt_Non_Payé*Valeurs_Entrées,Début_Solde,""), "")</f>
        <v>229783.72894220418</v>
      </c>
      <c r="G21" s="14">
        <f ca="1">IFERROR(IF(Prêt_Non_Payé*Valeurs_Entrées,Mensualité,""), "")</f>
        <v>1227.3262210603918</v>
      </c>
      <c r="H21" s="14">
        <f ca="1">IFERROR(IF(Prêt_Non_Payé*Valeurs_Entrées,Capital,""), "")</f>
        <v>461.38045791971081</v>
      </c>
      <c r="I21" s="14">
        <f ca="1">IFERROR(IF(Prêt_Non_Payé*Valeurs_Entrées,Intérêts,""), "")</f>
        <v>765.94576314068104</v>
      </c>
      <c r="J21" s="18">
        <f ca="1">IFERROR(IF(Prêt_Non_Payé*Valeurs_Entrées,Fin_Solde,""), "")</f>
        <v>229322.34848428445</v>
      </c>
    </row>
    <row r="22" spans="2:10" ht="17" customHeight="1">
      <c r="D22" s="16">
        <f ca="1">IFERROR(IF(Prêt_Non_Payé*Valeurs_Entrées,Numéro_Paiement,""), "")</f>
        <v>8</v>
      </c>
      <c r="E22" s="17">
        <f ca="1">IFERROR(IF(Prêt_Non_Payé*Valeurs_Entrées,Paiement_Date,""), "")</f>
        <v>45546</v>
      </c>
      <c r="F22" s="14">
        <f ca="1">IFERROR(IF(Prêt_Non_Payé*Valeurs_Entrées,Début_Solde,""), "")</f>
        <v>229322.34848428445</v>
      </c>
      <c r="G22" s="14">
        <f ca="1">IFERROR(IF(Prêt_Non_Payé*Valeurs_Entrées,Mensualité,""), "")</f>
        <v>1227.3262210603918</v>
      </c>
      <c r="H22" s="14">
        <f ca="1">IFERROR(IF(Prêt_Non_Payé*Valeurs_Entrées,Capital,""), "")</f>
        <v>462.9183927794432</v>
      </c>
      <c r="I22" s="14">
        <f ca="1">IFERROR(IF(Prêt_Non_Payé*Valeurs_Entrées,Intérêts,""), "")</f>
        <v>764.40782828094871</v>
      </c>
      <c r="J22" s="18">
        <f ca="1">IFERROR(IF(Prêt_Non_Payé*Valeurs_Entrées,Fin_Solde,""), "")</f>
        <v>228859.430091505</v>
      </c>
    </row>
    <row r="23" spans="2:10" ht="17" customHeight="1">
      <c r="D23" s="16">
        <f ca="1">IFERROR(IF(Prêt_Non_Payé*Valeurs_Entrées,Numéro_Paiement,""), "")</f>
        <v>9</v>
      </c>
      <c r="E23" s="17">
        <f ca="1">IFERROR(IF(Prêt_Non_Payé*Valeurs_Entrées,Paiement_Date,""), "")</f>
        <v>45576</v>
      </c>
      <c r="F23" s="14">
        <f ca="1">IFERROR(IF(Prêt_Non_Payé*Valeurs_Entrées,Début_Solde,""), "")</f>
        <v>228859.430091505</v>
      </c>
      <c r="G23" s="14">
        <f ca="1">IFERROR(IF(Prêt_Non_Payé*Valeurs_Entrées,Mensualité,""), "")</f>
        <v>1227.3262210603918</v>
      </c>
      <c r="H23" s="14">
        <f ca="1">IFERROR(IF(Prêt_Non_Payé*Valeurs_Entrées,Capital,""), "")</f>
        <v>464.46145408870791</v>
      </c>
      <c r="I23" s="14">
        <f ca="1">IFERROR(IF(Prêt_Non_Payé*Valeurs_Entrées,Intérêts,""), "")</f>
        <v>762.86476697168382</v>
      </c>
      <c r="J23" s="18">
        <f ca="1">IFERROR(IF(Prêt_Non_Payé*Valeurs_Entrées,Fin_Solde,""), "")</f>
        <v>228394.96863741631</v>
      </c>
    </row>
    <row r="24" spans="2:10" ht="17" customHeight="1">
      <c r="D24" s="16">
        <f ca="1">IFERROR(IF(Prêt_Non_Payé*Valeurs_Entrées,Numéro_Paiement,""), "")</f>
        <v>10</v>
      </c>
      <c r="E24" s="17">
        <f ca="1">IFERROR(IF(Prêt_Non_Payé*Valeurs_Entrées,Paiement_Date,""), "")</f>
        <v>45607</v>
      </c>
      <c r="F24" s="14">
        <f ca="1">IFERROR(IF(Prêt_Non_Payé*Valeurs_Entrées,Début_Solde,""), "")</f>
        <v>228394.96863741631</v>
      </c>
      <c r="G24" s="14">
        <f ca="1">IFERROR(IF(Prêt_Non_Payé*Valeurs_Entrées,Mensualité,""), "")</f>
        <v>1227.3262210603918</v>
      </c>
      <c r="H24" s="14">
        <f ca="1">IFERROR(IF(Prêt_Non_Payé*Valeurs_Entrées,Capital,""), "")</f>
        <v>466.0096589356703</v>
      </c>
      <c r="I24" s="14">
        <f ca="1">IFERROR(IF(Prêt_Non_Payé*Valeurs_Entrées,Intérêts,""), "")</f>
        <v>761.31656212472149</v>
      </c>
      <c r="J24" s="18">
        <f ca="1">IFERROR(IF(Prêt_Non_Payé*Valeurs_Entrées,Fin_Solde,""), "")</f>
        <v>227928.9589784806</v>
      </c>
    </row>
    <row r="25" spans="2:10" ht="17" customHeight="1">
      <c r="D25" s="16">
        <f ca="1">IFERROR(IF(Prêt_Non_Payé*Valeurs_Entrées,Numéro_Paiement,""), "")</f>
        <v>11</v>
      </c>
      <c r="E25" s="17">
        <f ca="1">IFERROR(IF(Prêt_Non_Payé*Valeurs_Entrées,Paiement_Date,""), "")</f>
        <v>45637</v>
      </c>
      <c r="F25" s="14">
        <f ca="1">IFERROR(IF(Prêt_Non_Payé*Valeurs_Entrées,Début_Solde,""), "")</f>
        <v>227928.9589784806</v>
      </c>
      <c r="G25" s="14">
        <f ca="1">IFERROR(IF(Prêt_Non_Payé*Valeurs_Entrées,Mensualité,""), "")</f>
        <v>1227.3262210603918</v>
      </c>
      <c r="H25" s="14">
        <f ca="1">IFERROR(IF(Prêt_Non_Payé*Valeurs_Entrées,Capital,""), "")</f>
        <v>467.5630244654559</v>
      </c>
      <c r="I25" s="14">
        <f ca="1">IFERROR(IF(Prêt_Non_Payé*Valeurs_Entrées,Intérêts,""), "")</f>
        <v>759.76319659493606</v>
      </c>
      <c r="J25" s="18">
        <f ca="1">IFERROR(IF(Prêt_Non_Payé*Valeurs_Entrées,Fin_Solde,""), "")</f>
        <v>227461.39595401511</v>
      </c>
    </row>
    <row r="26" spans="2:10" ht="17" customHeight="1">
      <c r="B26" s="28">
        <v>1</v>
      </c>
      <c r="D26" s="19">
        <f ca="1">IFERROR(IF(Prêt_Non_Payé*Valeurs_Entrées,Numéro_Paiement,""), "")</f>
        <v>12</v>
      </c>
      <c r="E26" s="27">
        <f ca="1">IFERROR(IF(Prêt_Non_Payé*Valeurs_Entrées,Paiement_Date,""), "")</f>
        <v>45668</v>
      </c>
      <c r="F26" s="18">
        <f ca="1">IFERROR(IF(Prêt_Non_Payé*Valeurs_Entrées,Début_Solde,""), "")</f>
        <v>227461.39595401511</v>
      </c>
      <c r="G26" s="18">
        <f ca="1">IFERROR(IF(Prêt_Non_Payé*Valeurs_Entrées,Mensualité,""), "")</f>
        <v>1227.3262210603918</v>
      </c>
      <c r="H26" s="18">
        <f ca="1">IFERROR(IF(Prêt_Non_Payé*Valeurs_Entrées,Capital,""), "")</f>
        <v>469.12156788034076</v>
      </c>
      <c r="I26" s="18">
        <f ca="1">IFERROR(IF(Prêt_Non_Payé*Valeurs_Entrées,Intérêts,""), "")</f>
        <v>758.2046531800512</v>
      </c>
      <c r="J26" s="18">
        <f ca="1">IFERROR(IF(Prêt_Non_Payé*Valeurs_Entrées,Fin_Solde,""), "")</f>
        <v>226992.27438613478</v>
      </c>
    </row>
    <row r="27" spans="2:10" ht="17" customHeight="1">
      <c r="D27" s="16">
        <f ca="1">IFERROR(IF(Prêt_Non_Payé*Valeurs_Entrées,Numéro_Paiement,""), "")</f>
        <v>13</v>
      </c>
      <c r="E27" s="17">
        <f ca="1">IFERROR(IF(Prêt_Non_Payé*Valeurs_Entrées,Paiement_Date,""), "")</f>
        <v>45699</v>
      </c>
      <c r="F27" s="14">
        <f ca="1">IFERROR(IF(Prêt_Non_Payé*Valeurs_Entrées,Début_Solde,""), "")</f>
        <v>226992.27438613478</v>
      </c>
      <c r="G27" s="14">
        <f ca="1">IFERROR(IF(Prêt_Non_Payé*Valeurs_Entrées,Mensualité,""), "")</f>
        <v>1227.3262210603918</v>
      </c>
      <c r="H27" s="14">
        <f ca="1">IFERROR(IF(Prêt_Non_Payé*Valeurs_Entrées,Capital,""), "")</f>
        <v>470.68530643994188</v>
      </c>
      <c r="I27" s="14">
        <f ca="1">IFERROR(IF(Prêt_Non_Payé*Valeurs_Entrées,Intérêts,""), "")</f>
        <v>756.64091462044996</v>
      </c>
      <c r="J27" s="18">
        <f ca="1">IFERROR(IF(Prêt_Non_Payé*Valeurs_Entrées,Fin_Solde,""), "")</f>
        <v>226521.58907969485</v>
      </c>
    </row>
    <row r="28" spans="2:10" ht="17" customHeight="1">
      <c r="D28" s="16">
        <f ca="1">IFERROR(IF(Prêt_Non_Payé*Valeurs_Entrées,Numéro_Paiement,""), "")</f>
        <v>14</v>
      </c>
      <c r="E28" s="17">
        <f ca="1">IFERROR(IF(Prêt_Non_Payé*Valeurs_Entrées,Paiement_Date,""), "")</f>
        <v>45727</v>
      </c>
      <c r="F28" s="14">
        <f ca="1">IFERROR(IF(Prêt_Non_Payé*Valeurs_Entrées,Début_Solde,""), "")</f>
        <v>226521.58907969485</v>
      </c>
      <c r="G28" s="14">
        <f ca="1">IFERROR(IF(Prêt_Non_Payé*Valeurs_Entrées,Mensualité,""), "")</f>
        <v>1227.3262210603918</v>
      </c>
      <c r="H28" s="14">
        <f ca="1">IFERROR(IF(Prêt_Non_Payé*Valeurs_Entrées,Capital,""), "")</f>
        <v>472.25425746140832</v>
      </c>
      <c r="I28" s="14">
        <f ca="1">IFERROR(IF(Prêt_Non_Payé*Valeurs_Entrées,Intérêts,""), "")</f>
        <v>755.07196359898353</v>
      </c>
      <c r="J28" s="18">
        <f ca="1">IFERROR(IF(Prêt_Non_Payé*Valeurs_Entrées,Fin_Solde,""), "")</f>
        <v>226049.33482223342</v>
      </c>
    </row>
    <row r="29" spans="2:10" ht="17" customHeight="1">
      <c r="D29" s="16">
        <f ca="1">IFERROR(IF(Prêt_Non_Payé*Valeurs_Entrées,Numéro_Paiement,""), "")</f>
        <v>15</v>
      </c>
      <c r="E29" s="17">
        <f ca="1">IFERROR(IF(Prêt_Non_Payé*Valeurs_Entrées,Paiement_Date,""), "")</f>
        <v>45758</v>
      </c>
      <c r="F29" s="14">
        <f ca="1">IFERROR(IF(Prêt_Non_Payé*Valeurs_Entrées,Début_Solde,""), "")</f>
        <v>226049.33482223342</v>
      </c>
      <c r="G29" s="14">
        <f ca="1">IFERROR(IF(Prêt_Non_Payé*Valeurs_Entrées,Mensualité,""), "")</f>
        <v>1227.3262210603918</v>
      </c>
      <c r="H29" s="14">
        <f ca="1">IFERROR(IF(Prêt_Non_Payé*Valeurs_Entrées,Capital,""), "")</f>
        <v>473.8284383196131</v>
      </c>
      <c r="I29" s="14">
        <f ca="1">IFERROR(IF(Prêt_Non_Payé*Valeurs_Entrées,Intérêts,""), "")</f>
        <v>753.49778274077892</v>
      </c>
      <c r="J29" s="18">
        <f ca="1">IFERROR(IF(Prêt_Non_Payé*Valeurs_Entrées,Fin_Solde,""), "")</f>
        <v>225575.50638391374</v>
      </c>
    </row>
    <row r="30" spans="2:10" ht="17" customHeight="1">
      <c r="D30" s="16">
        <f ca="1">IFERROR(IF(Prêt_Non_Payé*Valeurs_Entrées,Numéro_Paiement,""), "")</f>
        <v>16</v>
      </c>
      <c r="E30" s="17">
        <f ca="1">IFERROR(IF(Prêt_Non_Payé*Valeurs_Entrées,Paiement_Date,""), "")</f>
        <v>45788</v>
      </c>
      <c r="F30" s="14">
        <f ca="1">IFERROR(IF(Prêt_Non_Payé*Valeurs_Entrées,Début_Solde,""), "")</f>
        <v>225575.50638391374</v>
      </c>
      <c r="G30" s="14">
        <f ca="1">IFERROR(IF(Prêt_Non_Payé*Valeurs_Entrées,Mensualité,""), "")</f>
        <v>1227.3262210603918</v>
      </c>
      <c r="H30" s="14">
        <f ca="1">IFERROR(IF(Prêt_Non_Payé*Valeurs_Entrées,Capital,""), "")</f>
        <v>475.40786644734504</v>
      </c>
      <c r="I30" s="14">
        <f ca="1">IFERROR(IF(Prêt_Non_Payé*Valeurs_Entrées,Intérêts,""), "")</f>
        <v>751.91835461304686</v>
      </c>
      <c r="J30" s="18">
        <f ca="1">IFERROR(IF(Prêt_Non_Payé*Valeurs_Entrées,Fin_Solde,""), "")</f>
        <v>225100.09851746642</v>
      </c>
    </row>
    <row r="31" spans="2:10" ht="17" customHeight="1">
      <c r="D31" s="16">
        <f ca="1">IFERROR(IF(Prêt_Non_Payé*Valeurs_Entrées,Numéro_Paiement,""), "")</f>
        <v>17</v>
      </c>
      <c r="E31" s="17">
        <f ca="1">IFERROR(IF(Prêt_Non_Payé*Valeurs_Entrées,Paiement_Date,""), "")</f>
        <v>45819</v>
      </c>
      <c r="F31" s="14">
        <f ca="1">IFERROR(IF(Prêt_Non_Payé*Valeurs_Entrées,Début_Solde,""), "")</f>
        <v>225100.09851746642</v>
      </c>
      <c r="G31" s="14">
        <f ca="1">IFERROR(IF(Prêt_Non_Payé*Valeurs_Entrées,Mensualité,""), "")</f>
        <v>1227.3262210603918</v>
      </c>
      <c r="H31" s="14">
        <f ca="1">IFERROR(IF(Prêt_Non_Payé*Valeurs_Entrées,Capital,""), "")</f>
        <v>476.99255933550285</v>
      </c>
      <c r="I31" s="14">
        <f ca="1">IFERROR(IF(Prêt_Non_Payé*Valeurs_Entrées,Intérêts,""), "")</f>
        <v>750.333661724889</v>
      </c>
      <c r="J31" s="18">
        <f ca="1">IFERROR(IF(Prêt_Non_Payé*Valeurs_Entrées,Fin_Solde,""), "")</f>
        <v>224623.10595813088</v>
      </c>
    </row>
    <row r="32" spans="2:10" ht="17" customHeight="1">
      <c r="D32" s="16">
        <f ca="1">IFERROR(IF(Prêt_Non_Payé*Valeurs_Entrées,Numéro_Paiement,""), "")</f>
        <v>18</v>
      </c>
      <c r="E32" s="17">
        <f ca="1">IFERROR(IF(Prêt_Non_Payé*Valeurs_Entrées,Paiement_Date,""), "")</f>
        <v>45849</v>
      </c>
      <c r="F32" s="14">
        <f ca="1">IFERROR(IF(Prêt_Non_Payé*Valeurs_Entrées,Début_Solde,""), "")</f>
        <v>224623.10595813088</v>
      </c>
      <c r="G32" s="14">
        <f ca="1">IFERROR(IF(Prêt_Non_Payé*Valeurs_Entrées,Mensualité,""), "")</f>
        <v>1227.3262210603918</v>
      </c>
      <c r="H32" s="14">
        <f ca="1">IFERROR(IF(Prêt_Non_Payé*Valeurs_Entrées,Capital,""), "")</f>
        <v>478.58253453328791</v>
      </c>
      <c r="I32" s="14">
        <f ca="1">IFERROR(IF(Prêt_Non_Payé*Valeurs_Entrées,Intérêts,""), "")</f>
        <v>748.74368652710393</v>
      </c>
      <c r="J32" s="18">
        <f ca="1">IFERROR(IF(Prêt_Non_Payé*Valeurs_Entrées,Fin_Solde,""), "")</f>
        <v>224144.52342359762</v>
      </c>
    </row>
    <row r="33" spans="2:10" ht="17" customHeight="1">
      <c r="D33" s="16">
        <f ca="1">IFERROR(IF(Prêt_Non_Payé*Valeurs_Entrées,Numéro_Paiement,""), "")</f>
        <v>19</v>
      </c>
      <c r="E33" s="17">
        <f ca="1">IFERROR(IF(Prêt_Non_Payé*Valeurs_Entrées,Paiement_Date,""), "")</f>
        <v>45880</v>
      </c>
      <c r="F33" s="14">
        <f ca="1">IFERROR(IF(Prêt_Non_Payé*Valeurs_Entrées,Début_Solde,""), "")</f>
        <v>224144.52342359762</v>
      </c>
      <c r="G33" s="14">
        <f ca="1">IFERROR(IF(Prêt_Non_Payé*Valeurs_Entrées,Mensualité,""), "")</f>
        <v>1227.3262210603918</v>
      </c>
      <c r="H33" s="14">
        <f ca="1">IFERROR(IF(Prêt_Non_Payé*Valeurs_Entrées,Capital,""), "")</f>
        <v>480.17780964839886</v>
      </c>
      <c r="I33" s="14">
        <f ca="1">IFERROR(IF(Prêt_Non_Payé*Valeurs_Entrées,Intérêts,""), "")</f>
        <v>747.14841141199304</v>
      </c>
      <c r="J33" s="18">
        <f ca="1">IFERROR(IF(Prêt_Non_Payé*Valeurs_Entrées,Fin_Solde,""), "")</f>
        <v>223664.34561394918</v>
      </c>
    </row>
    <row r="34" spans="2:10" ht="17" customHeight="1">
      <c r="D34" s="16">
        <f ca="1">IFERROR(IF(Prêt_Non_Payé*Valeurs_Entrées,Numéro_Paiement,""), "")</f>
        <v>20</v>
      </c>
      <c r="E34" s="17">
        <f ca="1">IFERROR(IF(Prêt_Non_Payé*Valeurs_Entrées,Paiement_Date,""), "")</f>
        <v>45911</v>
      </c>
      <c r="F34" s="14">
        <f ca="1">IFERROR(IF(Prêt_Non_Payé*Valeurs_Entrées,Début_Solde,""), "")</f>
        <v>223664.34561394918</v>
      </c>
      <c r="G34" s="14">
        <f ca="1">IFERROR(IF(Prêt_Non_Payé*Valeurs_Entrées,Mensualité,""), "")</f>
        <v>1227.3262210603918</v>
      </c>
      <c r="H34" s="14">
        <f ca="1">IFERROR(IF(Prêt_Non_Payé*Valeurs_Entrées,Capital,""), "")</f>
        <v>481.77840234722686</v>
      </c>
      <c r="I34" s="14">
        <f ca="1">IFERROR(IF(Prêt_Non_Payé*Valeurs_Entrées,Intérêts,""), "")</f>
        <v>745.54781871316493</v>
      </c>
      <c r="J34" s="18">
        <f ca="1">IFERROR(IF(Prêt_Non_Payé*Valeurs_Entrées,Fin_Solde,""), "")</f>
        <v>223182.56721160194</v>
      </c>
    </row>
    <row r="35" spans="2:10" ht="17" customHeight="1">
      <c r="D35" s="16">
        <f ca="1">IFERROR(IF(Prêt_Non_Payé*Valeurs_Entrées,Numéro_Paiement,""), "")</f>
        <v>21</v>
      </c>
      <c r="E35" s="17">
        <f ca="1">IFERROR(IF(Prêt_Non_Payé*Valeurs_Entrées,Paiement_Date,""), "")</f>
        <v>45941</v>
      </c>
      <c r="F35" s="14">
        <f ca="1">IFERROR(IF(Prêt_Non_Payé*Valeurs_Entrées,Début_Solde,""), "")</f>
        <v>223182.56721160194</v>
      </c>
      <c r="G35" s="14">
        <f ca="1">IFERROR(IF(Prêt_Non_Payé*Valeurs_Entrées,Mensualité,""), "")</f>
        <v>1227.3262210603918</v>
      </c>
      <c r="H35" s="14">
        <f ca="1">IFERROR(IF(Prêt_Non_Payé*Valeurs_Entrées,Capital,""), "")</f>
        <v>483.38433035505096</v>
      </c>
      <c r="I35" s="14">
        <f ca="1">IFERROR(IF(Prêt_Non_Payé*Valeurs_Entrées,Intérêts,""), "")</f>
        <v>743.94189070534117</v>
      </c>
      <c r="J35" s="18">
        <f ca="1">IFERROR(IF(Prêt_Non_Payé*Valeurs_Entrées,Fin_Solde,""), "")</f>
        <v>222699.1828812469</v>
      </c>
    </row>
    <row r="36" spans="2:10" ht="17" customHeight="1">
      <c r="D36" s="16">
        <f ca="1">IFERROR(IF(Prêt_Non_Payé*Valeurs_Entrées,Numéro_Paiement,""), "")</f>
        <v>22</v>
      </c>
      <c r="E36" s="17">
        <f ca="1">IFERROR(IF(Prêt_Non_Payé*Valeurs_Entrées,Paiement_Date,""), "")</f>
        <v>45972</v>
      </c>
      <c r="F36" s="14">
        <f ca="1">IFERROR(IF(Prêt_Non_Payé*Valeurs_Entrées,Début_Solde,""), "")</f>
        <v>222699.1828812469</v>
      </c>
      <c r="G36" s="14">
        <f ca="1">IFERROR(IF(Prêt_Non_Payé*Valeurs_Entrées,Mensualité,""), "")</f>
        <v>1227.3262210603918</v>
      </c>
      <c r="H36" s="14">
        <f ca="1">IFERROR(IF(Prêt_Non_Payé*Valeurs_Entrées,Capital,""), "")</f>
        <v>484.99561145623449</v>
      </c>
      <c r="I36" s="14">
        <f ca="1">IFERROR(IF(Prêt_Non_Payé*Valeurs_Entrées,Intérêts,""), "")</f>
        <v>742.33060960415742</v>
      </c>
      <c r="J36" s="18">
        <f ca="1">IFERROR(IF(Prêt_Non_Payé*Valeurs_Entrées,Fin_Solde,""), "")</f>
        <v>222214.18726979062</v>
      </c>
    </row>
    <row r="37" spans="2:10" ht="17" customHeight="1">
      <c r="D37" s="16">
        <f ca="1">IFERROR(IF(Prêt_Non_Payé*Valeurs_Entrées,Numéro_Paiement,""), "")</f>
        <v>23</v>
      </c>
      <c r="E37" s="17">
        <f ca="1">IFERROR(IF(Prêt_Non_Payé*Valeurs_Entrées,Paiement_Date,""), "")</f>
        <v>46002</v>
      </c>
      <c r="F37" s="14">
        <f ca="1">IFERROR(IF(Prêt_Non_Payé*Valeurs_Entrées,Début_Solde,""), "")</f>
        <v>222214.18726979062</v>
      </c>
      <c r="G37" s="14">
        <f ca="1">IFERROR(IF(Prêt_Non_Payé*Valeurs_Entrées,Mensualité,""), "")</f>
        <v>1227.3262210603918</v>
      </c>
      <c r="H37" s="14">
        <f ca="1">IFERROR(IF(Prêt_Non_Payé*Valeurs_Entrées,Capital,""), "")</f>
        <v>486.61226349442194</v>
      </c>
      <c r="I37" s="14">
        <f ca="1">IFERROR(IF(Prêt_Non_Payé*Valeurs_Entrées,Intérêts,""), "")</f>
        <v>740.71395756596985</v>
      </c>
      <c r="J37" s="18">
        <f ca="1">IFERROR(IF(Prêt_Non_Payé*Valeurs_Entrées,Fin_Solde,""), "")</f>
        <v>221727.57500629619</v>
      </c>
    </row>
    <row r="38" spans="2:10" ht="17" customHeight="1">
      <c r="B38" s="28">
        <v>2</v>
      </c>
      <c r="D38" s="19">
        <f ca="1">IFERROR(IF(Prêt_Non_Payé*Valeurs_Entrées,Numéro_Paiement,""), "")</f>
        <v>24</v>
      </c>
      <c r="E38" s="27">
        <f ca="1">IFERROR(IF(Prêt_Non_Payé*Valeurs_Entrées,Paiement_Date,""), "")</f>
        <v>46033</v>
      </c>
      <c r="F38" s="18">
        <f ca="1">IFERROR(IF(Prêt_Non_Payé*Valeurs_Entrées,Début_Solde,""), "")</f>
        <v>221727.57500629619</v>
      </c>
      <c r="G38" s="18">
        <f ca="1">IFERROR(IF(Prêt_Non_Payé*Valeurs_Entrées,Mensualité,""), "")</f>
        <v>1227.3262210603918</v>
      </c>
      <c r="H38" s="18">
        <f ca="1">IFERROR(IF(Prêt_Non_Payé*Valeurs_Entrées,Capital,""), "")</f>
        <v>488.23430437273657</v>
      </c>
      <c r="I38" s="18">
        <f ca="1">IFERROR(IF(Prêt_Non_Payé*Valeurs_Entrées,Intérêts,""), "")</f>
        <v>739.09191668765527</v>
      </c>
      <c r="J38" s="18">
        <f ca="1">IFERROR(IF(Prêt_Non_Payé*Valeurs_Entrées,Fin_Solde,""), "")</f>
        <v>221239.34070192344</v>
      </c>
    </row>
    <row r="39" spans="2:10" ht="17" customHeight="1">
      <c r="D39" s="16">
        <f ca="1">IFERROR(IF(Prêt_Non_Payé*Valeurs_Entrées,Numéro_Paiement,""), "")</f>
        <v>25</v>
      </c>
      <c r="E39" s="17">
        <f ca="1">IFERROR(IF(Prêt_Non_Payé*Valeurs_Entrées,Paiement_Date,""), "")</f>
        <v>46064</v>
      </c>
      <c r="F39" s="14">
        <f ca="1">IFERROR(IF(Prêt_Non_Payé*Valeurs_Entrées,Début_Solde,""), "")</f>
        <v>221239.34070192344</v>
      </c>
      <c r="G39" s="14">
        <f ca="1">IFERROR(IF(Prêt_Non_Payé*Valeurs_Entrées,Mensualité,""), "")</f>
        <v>1227.3262210603918</v>
      </c>
      <c r="H39" s="14">
        <f ca="1">IFERROR(IF(Prêt_Non_Payé*Valeurs_Entrées,Capital,""), "")</f>
        <v>489.8617520539791</v>
      </c>
      <c r="I39" s="14">
        <f ca="1">IFERROR(IF(Prêt_Non_Payé*Valeurs_Entrées,Intérêts,""), "")</f>
        <v>737.46446900641274</v>
      </c>
      <c r="J39" s="18">
        <f ca="1">IFERROR(IF(Prêt_Non_Payé*Valeurs_Entrées,Fin_Solde,""), "")</f>
        <v>220749.47894986946</v>
      </c>
    </row>
    <row r="40" spans="2:10" ht="17" customHeight="1">
      <c r="D40" s="16">
        <f ca="1">IFERROR(IF(Prêt_Non_Payé*Valeurs_Entrées,Numéro_Paiement,""), "")</f>
        <v>26</v>
      </c>
      <c r="E40" s="17">
        <f ca="1">IFERROR(IF(Prêt_Non_Payé*Valeurs_Entrées,Paiement_Date,""), "")</f>
        <v>46092</v>
      </c>
      <c r="F40" s="14">
        <f ca="1">IFERROR(IF(Prêt_Non_Payé*Valeurs_Entrées,Début_Solde,""), "")</f>
        <v>220749.47894986946</v>
      </c>
      <c r="G40" s="14">
        <f ca="1">IFERROR(IF(Prêt_Non_Payé*Valeurs_Entrées,Mensualité,""), "")</f>
        <v>1227.3262210603918</v>
      </c>
      <c r="H40" s="14">
        <f ca="1">IFERROR(IF(Prêt_Non_Payé*Valeurs_Entrées,Capital,""), "")</f>
        <v>491.49462456082568</v>
      </c>
      <c r="I40" s="14">
        <f ca="1">IFERROR(IF(Prêt_Non_Payé*Valeurs_Entrées,Intérêts,""), "")</f>
        <v>735.83159649956622</v>
      </c>
      <c r="J40" s="18">
        <f ca="1">IFERROR(IF(Prêt_Non_Payé*Valeurs_Entrées,Fin_Solde,""), "")</f>
        <v>220257.98432530861</v>
      </c>
    </row>
    <row r="41" spans="2:10" ht="17" customHeight="1">
      <c r="D41" s="16">
        <f ca="1">IFERROR(IF(Prêt_Non_Payé*Valeurs_Entrées,Numéro_Paiement,""), "")</f>
        <v>27</v>
      </c>
      <c r="E41" s="17">
        <f ca="1">IFERROR(IF(Prêt_Non_Payé*Valeurs_Entrées,Paiement_Date,""), "")</f>
        <v>46123</v>
      </c>
      <c r="F41" s="14">
        <f ca="1">IFERROR(IF(Prêt_Non_Payé*Valeurs_Entrées,Début_Solde,""), "")</f>
        <v>220257.98432530861</v>
      </c>
      <c r="G41" s="14">
        <f ca="1">IFERROR(IF(Prêt_Non_Payé*Valeurs_Entrées,Mensualité,""), "")</f>
        <v>1227.3262210603918</v>
      </c>
      <c r="H41" s="14">
        <f ca="1">IFERROR(IF(Prêt_Non_Payé*Valeurs_Entrées,Capital,""), "")</f>
        <v>493.13293997602841</v>
      </c>
      <c r="I41" s="14">
        <f ca="1">IFERROR(IF(Prêt_Non_Payé*Valeurs_Entrées,Intérêts,""), "")</f>
        <v>734.19328108436343</v>
      </c>
      <c r="J41" s="18">
        <f ca="1">IFERROR(IF(Prêt_Non_Payé*Valeurs_Entrées,Fin_Solde,""), "")</f>
        <v>219764.85138533256</v>
      </c>
    </row>
    <row r="42" spans="2:10" ht="17" customHeight="1">
      <c r="D42" s="16">
        <f ca="1">IFERROR(IF(Prêt_Non_Payé*Valeurs_Entrées,Numéro_Paiement,""), "")</f>
        <v>28</v>
      </c>
      <c r="E42" s="17">
        <f ca="1">IFERROR(IF(Prêt_Non_Payé*Valeurs_Entrées,Paiement_Date,""), "")</f>
        <v>46153</v>
      </c>
      <c r="F42" s="14">
        <f ca="1">IFERROR(IF(Prêt_Non_Payé*Valeurs_Entrées,Début_Solde,""), "")</f>
        <v>219764.85138533256</v>
      </c>
      <c r="G42" s="14">
        <f ca="1">IFERROR(IF(Prêt_Non_Payé*Valeurs_Entrées,Mensualité,""), "")</f>
        <v>1227.3262210603918</v>
      </c>
      <c r="H42" s="14">
        <f ca="1">IFERROR(IF(Prêt_Non_Payé*Valeurs_Entrées,Capital,""), "")</f>
        <v>494.77671644261517</v>
      </c>
      <c r="I42" s="14">
        <f ca="1">IFERROR(IF(Prêt_Non_Payé*Valeurs_Entrées,Intérêts,""), "")</f>
        <v>732.54950461777662</v>
      </c>
      <c r="J42" s="18">
        <f ca="1">IFERROR(IF(Prêt_Non_Payé*Valeurs_Entrées,Fin_Solde,""), "")</f>
        <v>219270.07466888992</v>
      </c>
    </row>
    <row r="43" spans="2:10" ht="17" customHeight="1">
      <c r="D43" s="16">
        <f ca="1">IFERROR(IF(Prêt_Non_Payé*Valeurs_Entrées,Numéro_Paiement,""), "")</f>
        <v>29</v>
      </c>
      <c r="E43" s="17">
        <f ca="1">IFERROR(IF(Prêt_Non_Payé*Valeurs_Entrées,Paiement_Date,""), "")</f>
        <v>46184</v>
      </c>
      <c r="F43" s="14">
        <f ca="1">IFERROR(IF(Prêt_Non_Payé*Valeurs_Entrées,Début_Solde,""), "")</f>
        <v>219270.07466888992</v>
      </c>
      <c r="G43" s="14">
        <f ca="1">IFERROR(IF(Prêt_Non_Payé*Valeurs_Entrées,Mensualité,""), "")</f>
        <v>1227.3262210603918</v>
      </c>
      <c r="H43" s="14">
        <f ca="1">IFERROR(IF(Prêt_Non_Payé*Valeurs_Entrées,Capital,""), "")</f>
        <v>496.42597216409064</v>
      </c>
      <c r="I43" s="14">
        <f ca="1">IFERROR(IF(Prêt_Non_Payé*Valeurs_Entrées,Intérêts,""), "")</f>
        <v>730.90024889630126</v>
      </c>
      <c r="J43" s="18">
        <f ca="1">IFERROR(IF(Prêt_Non_Payé*Valeurs_Entrées,Fin_Solde,""), "")</f>
        <v>218773.64869672587</v>
      </c>
    </row>
    <row r="44" spans="2:10" ht="17" customHeight="1">
      <c r="D44" s="16">
        <f ca="1">IFERROR(IF(Prêt_Non_Payé*Valeurs_Entrées,Numéro_Paiement,""), "")</f>
        <v>30</v>
      </c>
      <c r="E44" s="17">
        <f ca="1">IFERROR(IF(Prêt_Non_Payé*Valeurs_Entrées,Paiement_Date,""), "")</f>
        <v>46214</v>
      </c>
      <c r="F44" s="14">
        <f ca="1">IFERROR(IF(Prêt_Non_Payé*Valeurs_Entrées,Début_Solde,""), "")</f>
        <v>218773.64869672587</v>
      </c>
      <c r="G44" s="14">
        <f ca="1">IFERROR(IF(Prêt_Non_Payé*Valeurs_Entrées,Mensualité,""), "")</f>
        <v>1227.3262210603918</v>
      </c>
      <c r="H44" s="14">
        <f ca="1">IFERROR(IF(Prêt_Non_Payé*Valeurs_Entrées,Capital,""), "")</f>
        <v>498.08072540463758</v>
      </c>
      <c r="I44" s="14">
        <f ca="1">IFERROR(IF(Prêt_Non_Payé*Valeurs_Entrées,Intérêts,""), "")</f>
        <v>729.24549565575444</v>
      </c>
      <c r="J44" s="18">
        <f ca="1">IFERROR(IF(Prêt_Non_Payé*Valeurs_Entrées,Fin_Solde,""), "")</f>
        <v>218275.56797132117</v>
      </c>
    </row>
    <row r="45" spans="2:10" ht="17" customHeight="1">
      <c r="D45" s="16">
        <f ca="1">IFERROR(IF(Prêt_Non_Payé*Valeurs_Entrées,Numéro_Paiement,""), "")</f>
        <v>31</v>
      </c>
      <c r="E45" s="17">
        <f ca="1">IFERROR(IF(Prêt_Non_Payé*Valeurs_Entrées,Paiement_Date,""), "")</f>
        <v>46245</v>
      </c>
      <c r="F45" s="14">
        <f ca="1">IFERROR(IF(Prêt_Non_Payé*Valeurs_Entrées,Début_Solde,""), "")</f>
        <v>218275.56797132117</v>
      </c>
      <c r="G45" s="14">
        <f ca="1">IFERROR(IF(Prêt_Non_Payé*Valeurs_Entrées,Mensualité,""), "")</f>
        <v>1227.3262210603918</v>
      </c>
      <c r="H45" s="14">
        <f ca="1">IFERROR(IF(Prêt_Non_Payé*Valeurs_Entrées,Capital,""), "")</f>
        <v>499.74099448931969</v>
      </c>
      <c r="I45" s="14">
        <f ca="1">IFERROR(IF(Prêt_Non_Payé*Valeurs_Entrées,Intérêts,""), "")</f>
        <v>727.58522657107221</v>
      </c>
      <c r="J45" s="18">
        <f ca="1">IFERROR(IF(Prêt_Non_Payé*Valeurs_Entrées,Fin_Solde,""), "")</f>
        <v>217775.82697683186</v>
      </c>
    </row>
    <row r="46" spans="2:10" ht="17" customHeight="1">
      <c r="D46" s="16">
        <f ca="1">IFERROR(IF(Prêt_Non_Payé*Valeurs_Entrées,Numéro_Paiement,""), "")</f>
        <v>32</v>
      </c>
      <c r="E46" s="17">
        <f ca="1">IFERROR(IF(Prêt_Non_Payé*Valeurs_Entrées,Paiement_Date,""), "")</f>
        <v>46276</v>
      </c>
      <c r="F46" s="14">
        <f ca="1">IFERROR(IF(Prêt_Non_Payé*Valeurs_Entrées,Début_Solde,""), "")</f>
        <v>217775.82697683186</v>
      </c>
      <c r="G46" s="14">
        <f ca="1">IFERROR(IF(Prêt_Non_Payé*Valeurs_Entrées,Mensualité,""), "")</f>
        <v>1227.3262210603918</v>
      </c>
      <c r="H46" s="14">
        <f ca="1">IFERROR(IF(Prêt_Non_Payé*Valeurs_Entrées,Capital,""), "")</f>
        <v>501.40679780428405</v>
      </c>
      <c r="I46" s="14">
        <f ca="1">IFERROR(IF(Prêt_Non_Payé*Valeurs_Entrées,Intérêts,""), "")</f>
        <v>725.91942325610773</v>
      </c>
      <c r="J46" s="18">
        <f ca="1">IFERROR(IF(Prêt_Non_Payé*Valeurs_Entrées,Fin_Solde,""), "")</f>
        <v>217274.42017902754</v>
      </c>
    </row>
    <row r="47" spans="2:10" ht="17" customHeight="1">
      <c r="D47" s="16">
        <f ca="1">IFERROR(IF(Prêt_Non_Payé*Valeurs_Entrées,Numéro_Paiement,""), "")</f>
        <v>33</v>
      </c>
      <c r="E47" s="17">
        <f ca="1">IFERROR(IF(Prêt_Non_Payé*Valeurs_Entrées,Paiement_Date,""), "")</f>
        <v>46306</v>
      </c>
      <c r="F47" s="14">
        <f ca="1">IFERROR(IF(Prêt_Non_Payé*Valeurs_Entrées,Début_Solde,""), "")</f>
        <v>217274.42017902754</v>
      </c>
      <c r="G47" s="14">
        <f ca="1">IFERROR(IF(Prêt_Non_Payé*Valeurs_Entrées,Mensualité,""), "")</f>
        <v>1227.3262210603918</v>
      </c>
      <c r="H47" s="14">
        <f ca="1">IFERROR(IF(Prêt_Non_Payé*Valeurs_Entrées,Capital,""), "")</f>
        <v>503.07815379696501</v>
      </c>
      <c r="I47" s="14">
        <f ca="1">IFERROR(IF(Prêt_Non_Payé*Valeurs_Entrées,Intérêts,""), "")</f>
        <v>724.24806726342695</v>
      </c>
      <c r="J47" s="18">
        <f ca="1">IFERROR(IF(Prêt_Non_Payé*Valeurs_Entrées,Fin_Solde,""), "")</f>
        <v>216771.34202523055</v>
      </c>
    </row>
    <row r="48" spans="2:10" ht="17" customHeight="1">
      <c r="D48" s="16">
        <f ca="1">IFERROR(IF(Prêt_Non_Payé*Valeurs_Entrées,Numéro_Paiement,""), "")</f>
        <v>34</v>
      </c>
      <c r="E48" s="17">
        <f ca="1">IFERROR(IF(Prêt_Non_Payé*Valeurs_Entrées,Paiement_Date,""), "")</f>
        <v>46337</v>
      </c>
      <c r="F48" s="14">
        <f ca="1">IFERROR(IF(Prêt_Non_Payé*Valeurs_Entrées,Début_Solde,""), "")</f>
        <v>216771.34202523055</v>
      </c>
      <c r="G48" s="14">
        <f ca="1">IFERROR(IF(Prêt_Non_Payé*Valeurs_Entrées,Mensualité,""), "")</f>
        <v>1227.3262210603918</v>
      </c>
      <c r="H48" s="14">
        <f ca="1">IFERROR(IF(Prêt_Non_Payé*Valeurs_Entrées,Capital,""), "")</f>
        <v>504.75508097628824</v>
      </c>
      <c r="I48" s="14">
        <f ca="1">IFERROR(IF(Prêt_Non_Payé*Valeurs_Entrées,Intérêts,""), "")</f>
        <v>722.57114008410349</v>
      </c>
      <c r="J48" s="18">
        <f ca="1">IFERROR(IF(Prêt_Non_Payé*Valeurs_Entrées,Fin_Solde,""), "")</f>
        <v>216266.58694425426</v>
      </c>
    </row>
    <row r="49" spans="2:10" ht="17" customHeight="1">
      <c r="D49" s="16">
        <f ca="1">IFERROR(IF(Prêt_Non_Payé*Valeurs_Entrées,Numéro_Paiement,""), "")</f>
        <v>35</v>
      </c>
      <c r="E49" s="17">
        <f ca="1">IFERROR(IF(Prêt_Non_Payé*Valeurs_Entrées,Paiement_Date,""), "")</f>
        <v>46367</v>
      </c>
      <c r="F49" s="14">
        <f ca="1">IFERROR(IF(Prêt_Non_Payé*Valeurs_Entrées,Début_Solde,""), "")</f>
        <v>216266.58694425426</v>
      </c>
      <c r="G49" s="14">
        <f ca="1">IFERROR(IF(Prêt_Non_Payé*Valeurs_Entrées,Mensualité,""), "")</f>
        <v>1227.3262210603918</v>
      </c>
      <c r="H49" s="14">
        <f ca="1">IFERROR(IF(Prêt_Non_Payé*Valeurs_Entrées,Capital,""), "")</f>
        <v>506.43759791287584</v>
      </c>
      <c r="I49" s="14">
        <f ca="1">IFERROR(IF(Prêt_Non_Payé*Valeurs_Entrées,Intérêts,""), "")</f>
        <v>720.88862314751589</v>
      </c>
      <c r="J49" s="18">
        <f ca="1">IFERROR(IF(Prêt_Non_Payé*Valeurs_Entrées,Fin_Solde,""), "")</f>
        <v>215760.14934634132</v>
      </c>
    </row>
    <row r="50" spans="2:10" ht="17" customHeight="1">
      <c r="B50" s="28">
        <v>3</v>
      </c>
      <c r="D50" s="19">
        <f ca="1">IFERROR(IF(Prêt_Non_Payé*Valeurs_Entrées,Numéro_Paiement,""), "")</f>
        <v>36</v>
      </c>
      <c r="E50" s="27">
        <f ca="1">IFERROR(IF(Prêt_Non_Payé*Valeurs_Entrées,Paiement_Date,""), "")</f>
        <v>46398</v>
      </c>
      <c r="F50" s="18">
        <f ca="1">IFERROR(IF(Prêt_Non_Payé*Valeurs_Entrées,Début_Solde,""), "")</f>
        <v>215760.14934634132</v>
      </c>
      <c r="G50" s="18">
        <f ca="1">IFERROR(IF(Prêt_Non_Payé*Valeurs_Entrées,Mensualité,""), "")</f>
        <v>1227.3262210603918</v>
      </c>
      <c r="H50" s="18">
        <f ca="1">IFERROR(IF(Prêt_Non_Payé*Valeurs_Entrées,Capital,""), "")</f>
        <v>508.12572323925207</v>
      </c>
      <c r="I50" s="18">
        <f ca="1">IFERROR(IF(Prêt_Non_Payé*Valeurs_Entrées,Intérêts,""), "")</f>
        <v>719.20049782113961</v>
      </c>
      <c r="J50" s="18">
        <f ca="1">IFERROR(IF(Prêt_Non_Payé*Valeurs_Entrées,Fin_Solde,""), "")</f>
        <v>215252.02362310211</v>
      </c>
    </row>
    <row r="51" spans="2:10" ht="17" customHeight="1">
      <c r="D51" s="16">
        <f ca="1">IFERROR(IF(Prêt_Non_Payé*Valeurs_Entrées,Numéro_Paiement,""), "")</f>
        <v>37</v>
      </c>
      <c r="E51" s="17">
        <f ca="1">IFERROR(IF(Prêt_Non_Payé*Valeurs_Entrées,Paiement_Date,""), "")</f>
        <v>46429</v>
      </c>
      <c r="F51" s="14">
        <f ca="1">IFERROR(IF(Prêt_Non_Payé*Valeurs_Entrées,Début_Solde,""), "")</f>
        <v>215252.02362310211</v>
      </c>
      <c r="G51" s="14">
        <f ca="1">IFERROR(IF(Prêt_Non_Payé*Valeurs_Entrées,Mensualité,""), "")</f>
        <v>1227.3262210603918</v>
      </c>
      <c r="H51" s="14">
        <f ca="1">IFERROR(IF(Prêt_Non_Payé*Valeurs_Entrées,Capital,""), "")</f>
        <v>509.81947565004958</v>
      </c>
      <c r="I51" s="14">
        <f ca="1">IFERROR(IF(Prêt_Non_Payé*Valeurs_Entrées,Intérêts,""), "")</f>
        <v>717.50674541034209</v>
      </c>
      <c r="J51" s="18">
        <f ca="1">IFERROR(IF(Prêt_Non_Payé*Valeurs_Entrées,Fin_Solde,""), "")</f>
        <v>214742.20414745202</v>
      </c>
    </row>
    <row r="52" spans="2:10" ht="17" customHeight="1">
      <c r="D52" s="16">
        <f ca="1">IFERROR(IF(Prêt_Non_Payé*Valeurs_Entrées,Numéro_Paiement,""), "")</f>
        <v>38</v>
      </c>
      <c r="E52" s="17">
        <f ca="1">IFERROR(IF(Prêt_Non_Payé*Valeurs_Entrées,Paiement_Date,""), "")</f>
        <v>46457</v>
      </c>
      <c r="F52" s="14">
        <f ca="1">IFERROR(IF(Prêt_Non_Payé*Valeurs_Entrées,Début_Solde,""), "")</f>
        <v>214742.20414745202</v>
      </c>
      <c r="G52" s="14">
        <f ca="1">IFERROR(IF(Prêt_Non_Payé*Valeurs_Entrées,Mensualité,""), "")</f>
        <v>1227.3262210603918</v>
      </c>
      <c r="H52" s="14">
        <f ca="1">IFERROR(IF(Prêt_Non_Payé*Valeurs_Entrées,Capital,""), "")</f>
        <v>511.51887390221646</v>
      </c>
      <c r="I52" s="14">
        <f ca="1">IFERROR(IF(Prêt_Non_Payé*Valeurs_Entrées,Intérêts,""), "")</f>
        <v>715.8073471581755</v>
      </c>
      <c r="J52" s="18">
        <f ca="1">IFERROR(IF(Prêt_Non_Payé*Valeurs_Entrées,Fin_Solde,""), "")</f>
        <v>214230.68527354981</v>
      </c>
    </row>
    <row r="53" spans="2:10" ht="17" customHeight="1">
      <c r="D53" s="16">
        <f ca="1">IFERROR(IF(Prêt_Non_Payé*Valeurs_Entrées,Numéro_Paiement,""), "")</f>
        <v>39</v>
      </c>
      <c r="E53" s="17">
        <f ca="1">IFERROR(IF(Prêt_Non_Payé*Valeurs_Entrées,Paiement_Date,""), "")</f>
        <v>46488</v>
      </c>
      <c r="F53" s="14">
        <f ca="1">IFERROR(IF(Prêt_Non_Payé*Valeurs_Entrées,Début_Solde,""), "")</f>
        <v>214230.68527354981</v>
      </c>
      <c r="G53" s="14">
        <f ca="1">IFERROR(IF(Prêt_Non_Payé*Valeurs_Entrées,Mensualité,""), "")</f>
        <v>1227.3262210603918</v>
      </c>
      <c r="H53" s="14">
        <f ca="1">IFERROR(IF(Prêt_Non_Payé*Valeurs_Entrées,Capital,""), "")</f>
        <v>513.22393681522385</v>
      </c>
      <c r="I53" s="14">
        <f ca="1">IFERROR(IF(Prêt_Non_Payé*Valeurs_Entrées,Intérêts,""), "")</f>
        <v>714.10228424516799</v>
      </c>
      <c r="J53" s="18">
        <f ca="1">IFERROR(IF(Prêt_Non_Payé*Valeurs_Entrées,Fin_Solde,""), "")</f>
        <v>213717.46133673456</v>
      </c>
    </row>
    <row r="54" spans="2:10" ht="17" customHeight="1">
      <c r="D54" s="16">
        <f ca="1">IFERROR(IF(Prêt_Non_Payé*Valeurs_Entrées,Numéro_Paiement,""), "")</f>
        <v>40</v>
      </c>
      <c r="E54" s="17">
        <f ca="1">IFERROR(IF(Prêt_Non_Payé*Valeurs_Entrées,Paiement_Date,""), "")</f>
        <v>46518</v>
      </c>
      <c r="F54" s="14">
        <f ca="1">IFERROR(IF(Prêt_Non_Payé*Valeurs_Entrées,Début_Solde,""), "")</f>
        <v>213717.46133673456</v>
      </c>
      <c r="G54" s="14">
        <f ca="1">IFERROR(IF(Prêt_Non_Payé*Valeurs_Entrées,Mensualité,""), "")</f>
        <v>1227.3262210603918</v>
      </c>
      <c r="H54" s="14">
        <f ca="1">IFERROR(IF(Prêt_Non_Payé*Valeurs_Entrées,Capital,""), "")</f>
        <v>514.93468327127459</v>
      </c>
      <c r="I54" s="14">
        <f ca="1">IFERROR(IF(Prêt_Non_Payé*Valeurs_Entrées,Intérêts,""), "")</f>
        <v>712.39153778911725</v>
      </c>
      <c r="J54" s="18">
        <f ca="1">IFERROR(IF(Prêt_Non_Payé*Valeurs_Entrées,Fin_Solde,""), "")</f>
        <v>213202.52665346325</v>
      </c>
    </row>
    <row r="55" spans="2:10" ht="17" customHeight="1">
      <c r="D55" s="16">
        <f ca="1">IFERROR(IF(Prêt_Non_Payé*Valeurs_Entrées,Numéro_Paiement,""), "")</f>
        <v>41</v>
      </c>
      <c r="E55" s="17">
        <f ca="1">IFERROR(IF(Prêt_Non_Payé*Valeurs_Entrées,Paiement_Date,""), "")</f>
        <v>46549</v>
      </c>
      <c r="F55" s="14">
        <f ca="1">IFERROR(IF(Prêt_Non_Payé*Valeurs_Entrées,Début_Solde,""), "")</f>
        <v>213202.52665346325</v>
      </c>
      <c r="G55" s="14">
        <f ca="1">IFERROR(IF(Prêt_Non_Payé*Valeurs_Entrées,Mensualité,""), "")</f>
        <v>1227.3262210603918</v>
      </c>
      <c r="H55" s="14">
        <f ca="1">IFERROR(IF(Prêt_Non_Payé*Valeurs_Entrées,Capital,""), "")</f>
        <v>516.65113221551212</v>
      </c>
      <c r="I55" s="14">
        <f ca="1">IFERROR(IF(Prêt_Non_Payé*Valeurs_Entrées,Intérêts,""), "")</f>
        <v>710.67508884487972</v>
      </c>
      <c r="J55" s="18">
        <f ca="1">IFERROR(IF(Prêt_Non_Payé*Valeurs_Entrées,Fin_Solde,""), "")</f>
        <v>212685.87552124777</v>
      </c>
    </row>
    <row r="56" spans="2:10" ht="17" customHeight="1">
      <c r="D56" s="16">
        <f ca="1">IFERROR(IF(Prêt_Non_Payé*Valeurs_Entrées,Numéro_Paiement,""), "")</f>
        <v>42</v>
      </c>
      <c r="E56" s="17">
        <f ca="1">IFERROR(IF(Prêt_Non_Payé*Valeurs_Entrées,Paiement_Date,""), "")</f>
        <v>46579</v>
      </c>
      <c r="F56" s="14">
        <f ca="1">IFERROR(IF(Prêt_Non_Payé*Valeurs_Entrées,Début_Solde,""), "")</f>
        <v>212685.87552124777</v>
      </c>
      <c r="G56" s="14">
        <f ca="1">IFERROR(IF(Prêt_Non_Payé*Valeurs_Entrées,Mensualité,""), "")</f>
        <v>1227.3262210603918</v>
      </c>
      <c r="H56" s="14">
        <f ca="1">IFERROR(IF(Prêt_Non_Payé*Valeurs_Entrées,Capital,""), "")</f>
        <v>518.37330265623052</v>
      </c>
      <c r="I56" s="14">
        <f ca="1">IFERROR(IF(Prêt_Non_Payé*Valeurs_Entrées,Intérêts,""), "")</f>
        <v>708.95291840416121</v>
      </c>
      <c r="J56" s="18">
        <f ca="1">IFERROR(IF(Prêt_Non_Payé*Valeurs_Entrées,Fin_Solde,""), "")</f>
        <v>212167.50221859151</v>
      </c>
    </row>
    <row r="57" spans="2:10" ht="17" customHeight="1">
      <c r="D57" s="16">
        <f ca="1">IFERROR(IF(Prêt_Non_Payé*Valeurs_Entrées,Numéro_Paiement,""), "")</f>
        <v>43</v>
      </c>
      <c r="E57" s="17">
        <f ca="1">IFERROR(IF(Prêt_Non_Payé*Valeurs_Entrées,Paiement_Date,""), "")</f>
        <v>46610</v>
      </c>
      <c r="F57" s="14">
        <f ca="1">IFERROR(IF(Prêt_Non_Payé*Valeurs_Entrées,Début_Solde,""), "")</f>
        <v>212167.50221859151</v>
      </c>
      <c r="G57" s="14">
        <f ca="1">IFERROR(IF(Prêt_Non_Payé*Valeurs_Entrées,Mensualité,""), "")</f>
        <v>1227.3262210603918</v>
      </c>
      <c r="H57" s="14">
        <f ca="1">IFERROR(IF(Prêt_Non_Payé*Valeurs_Entrées,Capital,""), "")</f>
        <v>520.10121366508474</v>
      </c>
      <c r="I57" s="14">
        <f ca="1">IFERROR(IF(Prêt_Non_Payé*Valeurs_Entrées,Intérêts,""), "")</f>
        <v>707.22500739530722</v>
      </c>
      <c r="J57" s="18">
        <f ca="1">IFERROR(IF(Prêt_Non_Payé*Valeurs_Entrées,Fin_Solde,""), "")</f>
        <v>211647.40100492636</v>
      </c>
    </row>
    <row r="58" spans="2:10" ht="17" customHeight="1">
      <c r="D58" s="16">
        <f ca="1">IFERROR(IF(Prêt_Non_Payé*Valeurs_Entrées,Numéro_Paiement,""), "")</f>
        <v>44</v>
      </c>
      <c r="E58" s="17">
        <f ca="1">IFERROR(IF(Prêt_Non_Payé*Valeurs_Entrées,Paiement_Date,""), "")</f>
        <v>46641</v>
      </c>
      <c r="F58" s="14">
        <f ca="1">IFERROR(IF(Prêt_Non_Payé*Valeurs_Entrées,Début_Solde,""), "")</f>
        <v>211647.40100492636</v>
      </c>
      <c r="G58" s="14">
        <f ca="1">IFERROR(IF(Prêt_Non_Payé*Valeurs_Entrées,Mensualité,""), "")</f>
        <v>1227.3262210603918</v>
      </c>
      <c r="H58" s="14">
        <f ca="1">IFERROR(IF(Prêt_Non_Payé*Valeurs_Entrées,Capital,""), "")</f>
        <v>521.83488437730148</v>
      </c>
      <c r="I58" s="14">
        <f ca="1">IFERROR(IF(Prêt_Non_Payé*Valeurs_Entrées,Intérêts,""), "")</f>
        <v>705.49133668309025</v>
      </c>
      <c r="J58" s="18">
        <f ca="1">IFERROR(IF(Prêt_Non_Payé*Valeurs_Entrées,Fin_Solde,""), "")</f>
        <v>211125.56612054911</v>
      </c>
    </row>
    <row r="59" spans="2:10" ht="17" customHeight="1">
      <c r="D59" s="16">
        <f ca="1">IFERROR(IF(Prêt_Non_Payé*Valeurs_Entrées,Numéro_Paiement,""), "")</f>
        <v>45</v>
      </c>
      <c r="E59" s="17">
        <f ca="1">IFERROR(IF(Prêt_Non_Payé*Valeurs_Entrées,Paiement_Date,""), "")</f>
        <v>46671</v>
      </c>
      <c r="F59" s="14">
        <f ca="1">IFERROR(IF(Prêt_Non_Payé*Valeurs_Entrées,Début_Solde,""), "")</f>
        <v>211125.56612054911</v>
      </c>
      <c r="G59" s="14">
        <f ca="1">IFERROR(IF(Prêt_Non_Payé*Valeurs_Entrées,Mensualité,""), "")</f>
        <v>1227.3262210603918</v>
      </c>
      <c r="H59" s="14">
        <f ca="1">IFERROR(IF(Prêt_Non_Payé*Valeurs_Entrées,Capital,""), "")</f>
        <v>523.57433399189256</v>
      </c>
      <c r="I59" s="14">
        <f ca="1">IFERROR(IF(Prêt_Non_Payé*Valeurs_Entrées,Intérêts,""), "")</f>
        <v>703.75188706849917</v>
      </c>
      <c r="J59" s="18">
        <f ca="1">IFERROR(IF(Prêt_Non_Payé*Valeurs_Entrées,Fin_Solde,""), "")</f>
        <v>210601.99178655719</v>
      </c>
    </row>
    <row r="60" spans="2:10" ht="17" customHeight="1">
      <c r="D60" s="16">
        <f ca="1">IFERROR(IF(Prêt_Non_Payé*Valeurs_Entrées,Numéro_Paiement,""), "")</f>
        <v>46</v>
      </c>
      <c r="E60" s="17">
        <f ca="1">IFERROR(IF(Prêt_Non_Payé*Valeurs_Entrées,Paiement_Date,""), "")</f>
        <v>46702</v>
      </c>
      <c r="F60" s="14">
        <f ca="1">IFERROR(IF(Prêt_Non_Payé*Valeurs_Entrées,Début_Solde,""), "")</f>
        <v>210601.99178655719</v>
      </c>
      <c r="G60" s="14">
        <f ca="1">IFERROR(IF(Prêt_Non_Payé*Valeurs_Entrées,Mensualité,""), "")</f>
        <v>1227.3262210603918</v>
      </c>
      <c r="H60" s="14">
        <f ca="1">IFERROR(IF(Prêt_Non_Payé*Valeurs_Entrées,Capital,""), "")</f>
        <v>525.31958177186561</v>
      </c>
      <c r="I60" s="14">
        <f ca="1">IFERROR(IF(Prêt_Non_Payé*Valeurs_Entrées,Intérêts,""), "")</f>
        <v>702.006639288526</v>
      </c>
      <c r="J60" s="18">
        <f ca="1">IFERROR(IF(Prêt_Non_Payé*Valeurs_Entrées,Fin_Solde,""), "")</f>
        <v>210076.67220478531</v>
      </c>
    </row>
    <row r="61" spans="2:10" ht="17" customHeight="1">
      <c r="D61" s="16">
        <f ca="1">IFERROR(IF(Prêt_Non_Payé*Valeurs_Entrées,Numéro_Paiement,""), "")</f>
        <v>47</v>
      </c>
      <c r="E61" s="17">
        <f ca="1">IFERROR(IF(Prêt_Non_Payé*Valeurs_Entrées,Paiement_Date,""), "")</f>
        <v>46732</v>
      </c>
      <c r="F61" s="14">
        <f ca="1">IFERROR(IF(Prêt_Non_Payé*Valeurs_Entrées,Début_Solde,""), "")</f>
        <v>210076.67220478531</v>
      </c>
      <c r="G61" s="14">
        <f ca="1">IFERROR(IF(Prêt_Non_Payé*Valeurs_Entrées,Mensualité,""), "")</f>
        <v>1227.3262210603918</v>
      </c>
      <c r="H61" s="14">
        <f ca="1">IFERROR(IF(Prêt_Non_Payé*Valeurs_Entrées,Capital,""), "")</f>
        <v>527.07064704443849</v>
      </c>
      <c r="I61" s="14">
        <f ca="1">IFERROR(IF(Prêt_Non_Payé*Valeurs_Entrées,Intérêts,""), "")</f>
        <v>700.25557401595336</v>
      </c>
      <c r="J61" s="18">
        <f ca="1">IFERROR(IF(Prêt_Non_Payé*Valeurs_Entrées,Fin_Solde,""), "")</f>
        <v>209549.6015577408</v>
      </c>
    </row>
    <row r="62" spans="2:10" ht="17" customHeight="1">
      <c r="B62" s="28">
        <v>4</v>
      </c>
      <c r="D62" s="19">
        <f ca="1">IFERROR(IF(Prêt_Non_Payé*Valeurs_Entrées,Numéro_Paiement,""), "")</f>
        <v>48</v>
      </c>
      <c r="E62" s="27">
        <f ca="1">IFERROR(IF(Prêt_Non_Payé*Valeurs_Entrées,Paiement_Date,""), "")</f>
        <v>46763</v>
      </c>
      <c r="F62" s="18">
        <f ca="1">IFERROR(IF(Prêt_Non_Payé*Valeurs_Entrées,Début_Solde,""), "")</f>
        <v>209549.6015577408</v>
      </c>
      <c r="G62" s="18">
        <f ca="1">IFERROR(IF(Prêt_Non_Payé*Valeurs_Entrées,Mensualité,""), "")</f>
        <v>1227.3262210603918</v>
      </c>
      <c r="H62" s="18">
        <f ca="1">IFERROR(IF(Prêt_Non_Payé*Valeurs_Entrées,Capital,""), "")</f>
        <v>528.82754920125331</v>
      </c>
      <c r="I62" s="18">
        <f ca="1">IFERROR(IF(Prêt_Non_Payé*Valeurs_Entrées,Intérêts,""), "")</f>
        <v>698.49867185913854</v>
      </c>
      <c r="J62" s="18">
        <f ca="1">IFERROR(IF(Prêt_Non_Payé*Valeurs_Entrées,Fin_Solde,""), "")</f>
        <v>209020.77400853956</v>
      </c>
    </row>
    <row r="63" spans="2:10" ht="17" customHeight="1">
      <c r="D63" s="16">
        <f ca="1">IFERROR(IF(Prêt_Non_Payé*Valeurs_Entrées,Numéro_Paiement,""), "")</f>
        <v>49</v>
      </c>
      <c r="E63" s="17">
        <f ca="1">IFERROR(IF(Prêt_Non_Payé*Valeurs_Entrées,Paiement_Date,""), "")</f>
        <v>46794</v>
      </c>
      <c r="F63" s="14">
        <f ca="1">IFERROR(IF(Prêt_Non_Payé*Valeurs_Entrées,Début_Solde,""), "")</f>
        <v>209020.77400853956</v>
      </c>
      <c r="G63" s="14">
        <f ca="1">IFERROR(IF(Prêt_Non_Payé*Valeurs_Entrées,Mensualité,""), "")</f>
        <v>1227.3262210603918</v>
      </c>
      <c r="H63" s="14">
        <f ca="1">IFERROR(IF(Prêt_Non_Payé*Valeurs_Entrées,Capital,""), "")</f>
        <v>530.59030769859078</v>
      </c>
      <c r="I63" s="14">
        <f ca="1">IFERROR(IF(Prêt_Non_Payé*Valeurs_Entrées,Intérêts,""), "")</f>
        <v>696.73591336180107</v>
      </c>
      <c r="J63" s="18">
        <f ca="1">IFERROR(IF(Prêt_Non_Payé*Valeurs_Entrées,Fin_Solde,""), "")</f>
        <v>208490.18370084098</v>
      </c>
    </row>
    <row r="64" spans="2:10" ht="17" customHeight="1">
      <c r="D64" s="16">
        <f ca="1">IFERROR(IF(Prêt_Non_Payé*Valeurs_Entrées,Numéro_Paiement,""), "")</f>
        <v>50</v>
      </c>
      <c r="E64" s="17">
        <f ca="1">IFERROR(IF(Prêt_Non_Payé*Valeurs_Entrées,Paiement_Date,""), "")</f>
        <v>46823</v>
      </c>
      <c r="F64" s="14">
        <f ca="1">IFERROR(IF(Prêt_Non_Payé*Valeurs_Entrées,Début_Solde,""), "")</f>
        <v>208490.18370084098</v>
      </c>
      <c r="G64" s="14">
        <f ca="1">IFERROR(IF(Prêt_Non_Payé*Valeurs_Entrées,Mensualité,""), "")</f>
        <v>1227.3262210603918</v>
      </c>
      <c r="H64" s="14">
        <f ca="1">IFERROR(IF(Prêt_Non_Payé*Valeurs_Entrées,Capital,""), "")</f>
        <v>532.35894205758609</v>
      </c>
      <c r="I64" s="14">
        <f ca="1">IFERROR(IF(Prêt_Non_Payé*Valeurs_Entrées,Intérêts,""), "")</f>
        <v>694.96727900280575</v>
      </c>
      <c r="J64" s="18">
        <f ca="1">IFERROR(IF(Prêt_Non_Payé*Valeurs_Entrées,Fin_Solde,""), "")</f>
        <v>207957.82475878336</v>
      </c>
    </row>
    <row r="65" spans="2:10" ht="17" customHeight="1">
      <c r="D65" s="16">
        <f ca="1">IFERROR(IF(Prêt_Non_Payé*Valeurs_Entrées,Numéro_Paiement,""), "")</f>
        <v>51</v>
      </c>
      <c r="E65" s="17">
        <f ca="1">IFERROR(IF(Prêt_Non_Payé*Valeurs_Entrées,Paiement_Date,""), "")</f>
        <v>46854</v>
      </c>
      <c r="F65" s="14">
        <f ca="1">IFERROR(IF(Prêt_Non_Payé*Valeurs_Entrées,Début_Solde,""), "")</f>
        <v>207957.82475878336</v>
      </c>
      <c r="G65" s="14">
        <f ca="1">IFERROR(IF(Prêt_Non_Payé*Valeurs_Entrées,Mensualité,""), "")</f>
        <v>1227.3262210603918</v>
      </c>
      <c r="H65" s="14">
        <f ca="1">IFERROR(IF(Prêt_Non_Payé*Valeurs_Entrées,Capital,""), "")</f>
        <v>534.13347186444469</v>
      </c>
      <c r="I65" s="14">
        <f ca="1">IFERROR(IF(Prêt_Non_Payé*Valeurs_Entrées,Intérêts,""), "")</f>
        <v>693.19274919594716</v>
      </c>
      <c r="J65" s="18">
        <f ca="1">IFERROR(IF(Prêt_Non_Payé*Valeurs_Entrées,Fin_Solde,""), "")</f>
        <v>207423.69128691882</v>
      </c>
    </row>
    <row r="66" spans="2:10" ht="17" customHeight="1">
      <c r="D66" s="16">
        <f ca="1">IFERROR(IF(Prêt_Non_Payé*Valeurs_Entrées,Numéro_Paiement,""), "")</f>
        <v>52</v>
      </c>
      <c r="E66" s="17">
        <f ca="1">IFERROR(IF(Prêt_Non_Payé*Valeurs_Entrées,Paiement_Date,""), "")</f>
        <v>46884</v>
      </c>
      <c r="F66" s="14">
        <f ca="1">IFERROR(IF(Prêt_Non_Payé*Valeurs_Entrées,Début_Solde,""), "")</f>
        <v>207423.69128691882</v>
      </c>
      <c r="G66" s="14">
        <f ca="1">IFERROR(IF(Prêt_Non_Payé*Valeurs_Entrées,Mensualité,""), "")</f>
        <v>1227.3262210603918</v>
      </c>
      <c r="H66" s="14">
        <f ca="1">IFERROR(IF(Prêt_Non_Payé*Valeurs_Entrées,Capital,""), "")</f>
        <v>535.91391677065951</v>
      </c>
      <c r="I66" s="14">
        <f ca="1">IFERROR(IF(Prêt_Non_Payé*Valeurs_Entrées,Intérêts,""), "")</f>
        <v>691.41230428973222</v>
      </c>
      <c r="J66" s="18">
        <f ca="1">IFERROR(IF(Prêt_Non_Payé*Valeurs_Entrées,Fin_Solde,""), "")</f>
        <v>206887.77737014819</v>
      </c>
    </row>
    <row r="67" spans="2:10" ht="17" customHeight="1">
      <c r="D67" s="16">
        <f ca="1">IFERROR(IF(Prêt_Non_Payé*Valeurs_Entrées,Numéro_Paiement,""), "")</f>
        <v>53</v>
      </c>
      <c r="E67" s="17">
        <f ca="1">IFERROR(IF(Prêt_Non_Payé*Valeurs_Entrées,Paiement_Date,""), "")</f>
        <v>46915</v>
      </c>
      <c r="F67" s="14">
        <f ca="1">IFERROR(IF(Prêt_Non_Payé*Valeurs_Entrées,Début_Solde,""), "")</f>
        <v>206887.77737014819</v>
      </c>
      <c r="G67" s="14">
        <f ca="1">IFERROR(IF(Prêt_Non_Payé*Valeurs_Entrées,Mensualité,""), "")</f>
        <v>1227.3262210603918</v>
      </c>
      <c r="H67" s="14">
        <f ca="1">IFERROR(IF(Prêt_Non_Payé*Valeurs_Entrées,Capital,""), "")</f>
        <v>537.70029649322839</v>
      </c>
      <c r="I67" s="14">
        <f ca="1">IFERROR(IF(Prêt_Non_Payé*Valeurs_Entrées,Intérêts,""), "")</f>
        <v>689.62592456716345</v>
      </c>
      <c r="J67" s="18">
        <f ca="1">IFERROR(IF(Prêt_Non_Payé*Valeurs_Entrées,Fin_Solde,""), "")</f>
        <v>206350.077073655</v>
      </c>
    </row>
    <row r="68" spans="2:10" ht="17" customHeight="1">
      <c r="D68" s="16">
        <f ca="1">IFERROR(IF(Prêt_Non_Payé*Valeurs_Entrées,Numéro_Paiement,""), "")</f>
        <v>54</v>
      </c>
      <c r="E68" s="17">
        <f ca="1">IFERROR(IF(Prêt_Non_Payé*Valeurs_Entrées,Paiement_Date,""), "")</f>
        <v>46945</v>
      </c>
      <c r="F68" s="14">
        <f ca="1">IFERROR(IF(Prêt_Non_Payé*Valeurs_Entrées,Début_Solde,""), "")</f>
        <v>206350.077073655</v>
      </c>
      <c r="G68" s="14">
        <f ca="1">IFERROR(IF(Prêt_Non_Payé*Valeurs_Entrées,Mensualité,""), "")</f>
        <v>1227.3262210603918</v>
      </c>
      <c r="H68" s="14">
        <f ca="1">IFERROR(IF(Prêt_Non_Payé*Valeurs_Entrées,Capital,""), "")</f>
        <v>539.49263081487254</v>
      </c>
      <c r="I68" s="14">
        <f ca="1">IFERROR(IF(Prêt_Non_Payé*Valeurs_Entrées,Intérêts,""), "")</f>
        <v>687.83359024551942</v>
      </c>
      <c r="J68" s="18">
        <f ca="1">IFERROR(IF(Prêt_Non_Payé*Valeurs_Entrées,Fin_Solde,""), "")</f>
        <v>205810.58444284007</v>
      </c>
    </row>
    <row r="69" spans="2:10" ht="17" customHeight="1">
      <c r="D69" s="16">
        <f ca="1">IFERROR(IF(Prêt_Non_Payé*Valeurs_Entrées,Numéro_Paiement,""), "")</f>
        <v>55</v>
      </c>
      <c r="E69" s="17">
        <f ca="1">IFERROR(IF(Prêt_Non_Payé*Valeurs_Entrées,Paiement_Date,""), "")</f>
        <v>46976</v>
      </c>
      <c r="F69" s="14">
        <f ca="1">IFERROR(IF(Prêt_Non_Payé*Valeurs_Entrées,Début_Solde,""), "")</f>
        <v>205810.58444284007</v>
      </c>
      <c r="G69" s="14">
        <f ca="1">IFERROR(IF(Prêt_Non_Payé*Valeurs_Entrées,Mensualité,""), "")</f>
        <v>1227.3262210603918</v>
      </c>
      <c r="H69" s="14">
        <f ca="1">IFERROR(IF(Prêt_Non_Payé*Valeurs_Entrées,Capital,""), "")</f>
        <v>541.29093958425528</v>
      </c>
      <c r="I69" s="14">
        <f ca="1">IFERROR(IF(Prêt_Non_Payé*Valeurs_Entrées,Intérêts,""), "")</f>
        <v>686.03528147613656</v>
      </c>
      <c r="J69" s="18">
        <f ca="1">IFERROR(IF(Prêt_Non_Payé*Valeurs_Entrées,Fin_Solde,""), "")</f>
        <v>205269.29350325579</v>
      </c>
    </row>
    <row r="70" spans="2:10" ht="17" customHeight="1">
      <c r="D70" s="16">
        <f ca="1">IFERROR(IF(Prêt_Non_Payé*Valeurs_Entrées,Numéro_Paiement,""), "")</f>
        <v>56</v>
      </c>
      <c r="E70" s="17">
        <f ca="1">IFERROR(IF(Prêt_Non_Payé*Valeurs_Entrées,Paiement_Date,""), "")</f>
        <v>47007</v>
      </c>
      <c r="F70" s="14">
        <f ca="1">IFERROR(IF(Prêt_Non_Payé*Valeurs_Entrées,Début_Solde,""), "")</f>
        <v>205269.29350325579</v>
      </c>
      <c r="G70" s="14">
        <f ca="1">IFERROR(IF(Prêt_Non_Payé*Valeurs_Entrées,Mensualité,""), "")</f>
        <v>1227.3262210603918</v>
      </c>
      <c r="H70" s="14">
        <f ca="1">IFERROR(IF(Prêt_Non_Payé*Valeurs_Entrées,Capital,""), "")</f>
        <v>543.09524271620296</v>
      </c>
      <c r="I70" s="14">
        <f ca="1">IFERROR(IF(Prêt_Non_Payé*Valeurs_Entrées,Intérêts,""), "")</f>
        <v>684.23097834418888</v>
      </c>
      <c r="J70" s="18">
        <f ca="1">IFERROR(IF(Prêt_Non_Payé*Valeurs_Entrées,Fin_Solde,""), "")</f>
        <v>204726.19826053959</v>
      </c>
    </row>
    <row r="71" spans="2:10" ht="17" customHeight="1">
      <c r="D71" s="16">
        <f ca="1">IFERROR(IF(Prêt_Non_Payé*Valeurs_Entrées,Numéro_Paiement,""), "")</f>
        <v>57</v>
      </c>
      <c r="E71" s="17">
        <f ca="1">IFERROR(IF(Prêt_Non_Payé*Valeurs_Entrées,Paiement_Date,""), "")</f>
        <v>47037</v>
      </c>
      <c r="F71" s="14">
        <f ca="1">IFERROR(IF(Prêt_Non_Payé*Valeurs_Entrées,Début_Solde,""), "")</f>
        <v>204726.19826053959</v>
      </c>
      <c r="G71" s="14">
        <f ca="1">IFERROR(IF(Prêt_Non_Payé*Valeurs_Entrées,Mensualité,""), "")</f>
        <v>1227.3262210603918</v>
      </c>
      <c r="H71" s="14">
        <f ca="1">IFERROR(IF(Prêt_Non_Payé*Valeurs_Entrées,Capital,""), "")</f>
        <v>544.90556019192366</v>
      </c>
      <c r="I71" s="14">
        <f ca="1">IFERROR(IF(Prêt_Non_Payé*Valeurs_Entrées,Intérêts,""), "")</f>
        <v>682.4206608684683</v>
      </c>
      <c r="J71" s="18">
        <f ca="1">IFERROR(IF(Prêt_Non_Payé*Valeurs_Entrées,Fin_Solde,""), "")</f>
        <v>204181.29270034767</v>
      </c>
    </row>
    <row r="72" spans="2:10" ht="17" customHeight="1">
      <c r="D72" s="16">
        <f ca="1">IFERROR(IF(Prêt_Non_Payé*Valeurs_Entrées,Numéro_Paiement,""), "")</f>
        <v>58</v>
      </c>
      <c r="E72" s="17">
        <f ca="1">IFERROR(IF(Prêt_Non_Payé*Valeurs_Entrées,Paiement_Date,""), "")</f>
        <v>47068</v>
      </c>
      <c r="F72" s="14">
        <f ca="1">IFERROR(IF(Prêt_Non_Payé*Valeurs_Entrées,Début_Solde,""), "")</f>
        <v>204181.29270034767</v>
      </c>
      <c r="G72" s="14">
        <f ca="1">IFERROR(IF(Prêt_Non_Payé*Valeurs_Entrées,Mensualité,""), "")</f>
        <v>1227.3262210603918</v>
      </c>
      <c r="H72" s="14">
        <f ca="1">IFERROR(IF(Prêt_Non_Payé*Valeurs_Entrées,Capital,""), "")</f>
        <v>546.72191205923002</v>
      </c>
      <c r="I72" s="14">
        <f ca="1">IFERROR(IF(Prêt_Non_Payé*Valeurs_Entrées,Intérêts,""), "")</f>
        <v>680.60430900116182</v>
      </c>
      <c r="J72" s="18">
        <f ca="1">IFERROR(IF(Prêt_Non_Payé*Valeurs_Entrées,Fin_Solde,""), "")</f>
        <v>203634.57078828837</v>
      </c>
    </row>
    <row r="73" spans="2:10" ht="17" customHeight="1">
      <c r="D73" s="16">
        <f ca="1">IFERROR(IF(Prêt_Non_Payé*Valeurs_Entrées,Numéro_Paiement,""), "")</f>
        <v>59</v>
      </c>
      <c r="E73" s="17">
        <f ca="1">IFERROR(IF(Prêt_Non_Payé*Valeurs_Entrées,Paiement_Date,""), "")</f>
        <v>47098</v>
      </c>
      <c r="F73" s="14">
        <f ca="1">IFERROR(IF(Prêt_Non_Payé*Valeurs_Entrées,Début_Solde,""), "")</f>
        <v>203634.57078828837</v>
      </c>
      <c r="G73" s="14">
        <f ca="1">IFERROR(IF(Prêt_Non_Payé*Valeurs_Entrées,Mensualité,""), "")</f>
        <v>1227.3262210603918</v>
      </c>
      <c r="H73" s="14">
        <f ca="1">IFERROR(IF(Prêt_Non_Payé*Valeurs_Entrées,Capital,""), "")</f>
        <v>548.54431843276075</v>
      </c>
      <c r="I73" s="14">
        <f ca="1">IFERROR(IF(Prêt_Non_Payé*Valeurs_Entrées,Intérêts,""), "")</f>
        <v>678.7819026276311</v>
      </c>
      <c r="J73" s="18">
        <f ca="1">IFERROR(IF(Prêt_Non_Payé*Valeurs_Entrées,Fin_Solde,""), "")</f>
        <v>203086.02646985563</v>
      </c>
    </row>
    <row r="74" spans="2:10" ht="17" customHeight="1">
      <c r="B74" s="28">
        <v>5</v>
      </c>
      <c r="D74" s="19">
        <f ca="1">IFERROR(IF(Prêt_Non_Payé*Valeurs_Entrées,Numéro_Paiement,""), "")</f>
        <v>60</v>
      </c>
      <c r="E74" s="27">
        <f ca="1">IFERROR(IF(Prêt_Non_Payé*Valeurs_Entrées,Paiement_Date,""), "")</f>
        <v>47129</v>
      </c>
      <c r="F74" s="18">
        <f ca="1">IFERROR(IF(Prêt_Non_Payé*Valeurs_Entrées,Début_Solde,""), "")</f>
        <v>203086.02646985563</v>
      </c>
      <c r="G74" s="18">
        <f ca="1">IFERROR(IF(Prêt_Non_Payé*Valeurs_Entrées,Mensualité,""), "")</f>
        <v>1227.3262210603918</v>
      </c>
      <c r="H74" s="18">
        <f ca="1">IFERROR(IF(Prêt_Non_Payé*Valeurs_Entrées,Capital,""), "")</f>
        <v>550.37279949420326</v>
      </c>
      <c r="I74" s="18">
        <f ca="1">IFERROR(IF(Prêt_Non_Payé*Valeurs_Entrées,Intérêts,""), "")</f>
        <v>676.95342156618858</v>
      </c>
      <c r="J74" s="18">
        <f ca="1">IFERROR(IF(Prêt_Non_Payé*Valeurs_Entrées,Fin_Solde,""), "")</f>
        <v>202535.65367036138</v>
      </c>
    </row>
    <row r="75" spans="2:10" ht="17" customHeight="1">
      <c r="D75" s="16">
        <f ca="1">IFERROR(IF(Prêt_Non_Payé*Valeurs_Entrées,Numéro_Paiement,""), "")</f>
        <v>61</v>
      </c>
      <c r="E75" s="17">
        <f ca="1">IFERROR(IF(Prêt_Non_Payé*Valeurs_Entrées,Paiement_Date,""), "")</f>
        <v>47160</v>
      </c>
      <c r="F75" s="14">
        <f ca="1">IFERROR(IF(Prêt_Non_Payé*Valeurs_Entrées,Début_Solde,""), "")</f>
        <v>202535.65367036138</v>
      </c>
      <c r="G75" s="14">
        <f ca="1">IFERROR(IF(Prêt_Non_Payé*Valeurs_Entrées,Mensualité,""), "")</f>
        <v>1227.3262210603918</v>
      </c>
      <c r="H75" s="14">
        <f ca="1">IFERROR(IF(Prêt_Non_Payé*Valeurs_Entrées,Capital,""), "")</f>
        <v>552.20737549251737</v>
      </c>
      <c r="I75" s="14">
        <f ca="1">IFERROR(IF(Prêt_Non_Payé*Valeurs_Entrées,Intérêts,""), "")</f>
        <v>675.11884556787447</v>
      </c>
      <c r="J75" s="18">
        <f ca="1">IFERROR(IF(Prêt_Non_Payé*Valeurs_Entrées,Fin_Solde,""), "")</f>
        <v>201983.44629486889</v>
      </c>
    </row>
    <row r="76" spans="2:10" ht="17" customHeight="1">
      <c r="D76" s="16">
        <f ca="1">IFERROR(IF(Prêt_Non_Payé*Valeurs_Entrées,Numéro_Paiement,""), "")</f>
        <v>62</v>
      </c>
      <c r="E76" s="17">
        <f ca="1">IFERROR(IF(Prêt_Non_Payé*Valeurs_Entrées,Paiement_Date,""), "")</f>
        <v>47188</v>
      </c>
      <c r="F76" s="14">
        <f ca="1">IFERROR(IF(Prêt_Non_Payé*Valeurs_Entrées,Début_Solde,""), "")</f>
        <v>201983.44629486889</v>
      </c>
      <c r="G76" s="14">
        <f ca="1">IFERROR(IF(Prêt_Non_Payé*Valeurs_Entrées,Mensualité,""), "")</f>
        <v>1227.3262210603918</v>
      </c>
      <c r="H76" s="14">
        <f ca="1">IFERROR(IF(Prêt_Non_Payé*Valeurs_Entrées,Capital,""), "")</f>
        <v>554.04806674415909</v>
      </c>
      <c r="I76" s="14">
        <f ca="1">IFERROR(IF(Prêt_Non_Payé*Valeurs_Entrées,Intérêts,""), "")</f>
        <v>673.27815431623276</v>
      </c>
      <c r="J76" s="18">
        <f ca="1">IFERROR(IF(Prêt_Non_Payé*Valeurs_Entrées,Fin_Solde,""), "")</f>
        <v>201429.39822812472</v>
      </c>
    </row>
    <row r="77" spans="2:10" ht="17" customHeight="1">
      <c r="D77" s="16">
        <f ca="1">IFERROR(IF(Prêt_Non_Payé*Valeurs_Entrées,Numéro_Paiement,""), "")</f>
        <v>63</v>
      </c>
      <c r="E77" s="17">
        <f ca="1">IFERROR(IF(Prêt_Non_Payé*Valeurs_Entrées,Paiement_Date,""), "")</f>
        <v>47219</v>
      </c>
      <c r="F77" s="14">
        <f ca="1">IFERROR(IF(Prêt_Non_Payé*Valeurs_Entrées,Début_Solde,""), "")</f>
        <v>201429.39822812472</v>
      </c>
      <c r="G77" s="14">
        <f ca="1">IFERROR(IF(Prêt_Non_Payé*Valeurs_Entrées,Mensualité,""), "")</f>
        <v>1227.3262210603918</v>
      </c>
      <c r="H77" s="14">
        <f ca="1">IFERROR(IF(Prêt_Non_Payé*Valeurs_Entrées,Capital,""), "")</f>
        <v>555.8948936333062</v>
      </c>
      <c r="I77" s="14">
        <f ca="1">IFERROR(IF(Prêt_Non_Payé*Valeurs_Entrées,Intérêts,""), "")</f>
        <v>671.43132742708588</v>
      </c>
      <c r="J77" s="18">
        <f ca="1">IFERROR(IF(Prêt_Non_Payé*Valeurs_Entrées,Fin_Solde,""), "")</f>
        <v>200873.5033344914</v>
      </c>
    </row>
    <row r="78" spans="2:10" ht="17" customHeight="1">
      <c r="D78" s="16">
        <f ca="1">IFERROR(IF(Prêt_Non_Payé*Valeurs_Entrées,Numéro_Paiement,""), "")</f>
        <v>64</v>
      </c>
      <c r="E78" s="17">
        <f ca="1">IFERROR(IF(Prêt_Non_Payé*Valeurs_Entrées,Paiement_Date,""), "")</f>
        <v>47249</v>
      </c>
      <c r="F78" s="14">
        <f ca="1">IFERROR(IF(Prêt_Non_Payé*Valeurs_Entrées,Début_Solde,""), "")</f>
        <v>200873.5033344914</v>
      </c>
      <c r="G78" s="14">
        <f ca="1">IFERROR(IF(Prêt_Non_Payé*Valeurs_Entrées,Mensualité,""), "")</f>
        <v>1227.3262210603918</v>
      </c>
      <c r="H78" s="14">
        <f ca="1">IFERROR(IF(Prêt_Non_Payé*Valeurs_Entrées,Capital,""), "")</f>
        <v>557.74787661208393</v>
      </c>
      <c r="I78" s="14">
        <f ca="1">IFERROR(IF(Prêt_Non_Payé*Valeurs_Entrées,Intérêts,""), "")</f>
        <v>669.57834444830792</v>
      </c>
      <c r="J78" s="18">
        <f ca="1">IFERROR(IF(Prêt_Non_Payé*Valeurs_Entrées,Fin_Solde,""), "")</f>
        <v>200315.75545787925</v>
      </c>
    </row>
    <row r="79" spans="2:10" ht="17" customHeight="1">
      <c r="D79" s="16">
        <f ca="1">IFERROR(IF(Prêt_Non_Payé*Valeurs_Entrées,Numéro_Paiement,""), "")</f>
        <v>65</v>
      </c>
      <c r="E79" s="17">
        <f ca="1">IFERROR(IF(Prêt_Non_Payé*Valeurs_Entrées,Paiement_Date,""), "")</f>
        <v>47280</v>
      </c>
      <c r="F79" s="14">
        <f ca="1">IFERROR(IF(Prêt_Non_Payé*Valeurs_Entrées,Début_Solde,""), "")</f>
        <v>200315.75545787925</v>
      </c>
      <c r="G79" s="14">
        <f ca="1">IFERROR(IF(Prêt_Non_Payé*Valeurs_Entrées,Mensualité,""), "")</f>
        <v>1227.3262210603918</v>
      </c>
      <c r="H79" s="14">
        <f ca="1">IFERROR(IF(Prêt_Non_Payé*Valeurs_Entrées,Capital,""), "")</f>
        <v>559.60703620079084</v>
      </c>
      <c r="I79" s="14">
        <f ca="1">IFERROR(IF(Prêt_Non_Payé*Valeurs_Entrées,Intérêts,""), "")</f>
        <v>667.719184859601</v>
      </c>
      <c r="J79" s="18">
        <f ca="1">IFERROR(IF(Prêt_Non_Payé*Valeurs_Entrées,Fin_Solde,""), "")</f>
        <v>199756.14842167849</v>
      </c>
    </row>
    <row r="80" spans="2:10" ht="17" customHeight="1">
      <c r="D80" s="16">
        <f ca="1">IFERROR(IF(Prêt_Non_Payé*Valeurs_Entrées,Numéro_Paiement,""), "")</f>
        <v>66</v>
      </c>
      <c r="E80" s="17">
        <f ca="1">IFERROR(IF(Prêt_Non_Payé*Valeurs_Entrées,Paiement_Date,""), "")</f>
        <v>47310</v>
      </c>
      <c r="F80" s="14">
        <f ca="1">IFERROR(IF(Prêt_Non_Payé*Valeurs_Entrées,Début_Solde,""), "")</f>
        <v>199756.14842167849</v>
      </c>
      <c r="G80" s="14">
        <f ca="1">IFERROR(IF(Prêt_Non_Payé*Valeurs_Entrées,Mensualité,""), "")</f>
        <v>1227.3262210603918</v>
      </c>
      <c r="H80" s="14">
        <f ca="1">IFERROR(IF(Prêt_Non_Payé*Valeurs_Entrées,Capital,""), "")</f>
        <v>561.4723929881269</v>
      </c>
      <c r="I80" s="14">
        <f ca="1">IFERROR(IF(Prêt_Non_Payé*Valeurs_Entrées,Intérêts,""), "")</f>
        <v>665.85382807226506</v>
      </c>
      <c r="J80" s="18">
        <f ca="1">IFERROR(IF(Prêt_Non_Payé*Valeurs_Entrées,Fin_Solde,""), "")</f>
        <v>199194.6760286903</v>
      </c>
    </row>
    <row r="81" spans="2:10" ht="17" customHeight="1">
      <c r="D81" s="16">
        <f ca="1">IFERROR(IF(Prêt_Non_Payé*Valeurs_Entrées,Numéro_Paiement,""), "")</f>
        <v>67</v>
      </c>
      <c r="E81" s="17">
        <f ca="1">IFERROR(IF(Prêt_Non_Payé*Valeurs_Entrées,Paiement_Date,""), "")</f>
        <v>47341</v>
      </c>
      <c r="F81" s="14">
        <f ca="1">IFERROR(IF(Prêt_Non_Payé*Valeurs_Entrées,Début_Solde,""), "")</f>
        <v>199194.6760286903</v>
      </c>
      <c r="G81" s="14">
        <f ca="1">IFERROR(IF(Prêt_Non_Payé*Valeurs_Entrées,Mensualité,""), "")</f>
        <v>1227.3262210603918</v>
      </c>
      <c r="H81" s="14">
        <f ca="1">IFERROR(IF(Prêt_Non_Payé*Valeurs_Entrées,Capital,""), "")</f>
        <v>563.34396763142058</v>
      </c>
      <c r="I81" s="14">
        <f ca="1">IFERROR(IF(Prêt_Non_Payé*Valeurs_Entrées,Intérêts,""), "")</f>
        <v>663.98225342897126</v>
      </c>
      <c r="J81" s="18">
        <f ca="1">IFERROR(IF(Prêt_Non_Payé*Valeurs_Entrées,Fin_Solde,""), "")</f>
        <v>198631.33206105884</v>
      </c>
    </row>
    <row r="82" spans="2:10" ht="17" customHeight="1">
      <c r="D82" s="16">
        <f ca="1">IFERROR(IF(Prêt_Non_Payé*Valeurs_Entrées,Numéro_Paiement,""), "")</f>
        <v>68</v>
      </c>
      <c r="E82" s="17">
        <f ca="1">IFERROR(IF(Prêt_Non_Payé*Valeurs_Entrées,Paiement_Date,""), "")</f>
        <v>47372</v>
      </c>
      <c r="F82" s="14">
        <f ca="1">IFERROR(IF(Prêt_Non_Payé*Valeurs_Entrées,Début_Solde,""), "")</f>
        <v>198631.33206105884</v>
      </c>
      <c r="G82" s="14">
        <f ca="1">IFERROR(IF(Prêt_Non_Payé*Valeurs_Entrées,Mensualité,""), "")</f>
        <v>1227.3262210603918</v>
      </c>
      <c r="H82" s="14">
        <f ca="1">IFERROR(IF(Prêt_Non_Payé*Valeurs_Entrées,Capital,""), "")</f>
        <v>565.22178085685869</v>
      </c>
      <c r="I82" s="14">
        <f ca="1">IFERROR(IF(Prêt_Non_Payé*Valeurs_Entrées,Intérêts,""), "")</f>
        <v>662.10444020353316</v>
      </c>
      <c r="J82" s="18">
        <f ca="1">IFERROR(IF(Prêt_Non_Payé*Valeurs_Entrées,Fin_Solde,""), "")</f>
        <v>198066.110280202</v>
      </c>
    </row>
    <row r="83" spans="2:10" ht="17" customHeight="1">
      <c r="D83" s="16">
        <f ca="1">IFERROR(IF(Prêt_Non_Payé*Valeurs_Entrées,Numéro_Paiement,""), "")</f>
        <v>69</v>
      </c>
      <c r="E83" s="17">
        <f ca="1">IFERROR(IF(Prêt_Non_Payé*Valeurs_Entrées,Paiement_Date,""), "")</f>
        <v>47402</v>
      </c>
      <c r="F83" s="14">
        <f ca="1">IFERROR(IF(Prêt_Non_Payé*Valeurs_Entrées,Début_Solde,""), "")</f>
        <v>198066.110280202</v>
      </c>
      <c r="G83" s="14">
        <f ca="1">IFERROR(IF(Prêt_Non_Payé*Valeurs_Entrées,Mensualité,""), "")</f>
        <v>1227.3262210603918</v>
      </c>
      <c r="H83" s="14">
        <f ca="1">IFERROR(IF(Prêt_Non_Payé*Valeurs_Entrées,Capital,""), "")</f>
        <v>567.10585345971492</v>
      </c>
      <c r="I83" s="14">
        <f ca="1">IFERROR(IF(Prêt_Non_Payé*Valeurs_Entrées,Intérêts,""), "")</f>
        <v>660.22036760067704</v>
      </c>
      <c r="J83" s="18">
        <f ca="1">IFERROR(IF(Prêt_Non_Payé*Valeurs_Entrées,Fin_Solde,""), "")</f>
        <v>197499.00442674226</v>
      </c>
    </row>
    <row r="84" spans="2:10" ht="17" customHeight="1">
      <c r="D84" s="16">
        <f ca="1">IFERROR(IF(Prêt_Non_Payé*Valeurs_Entrées,Numéro_Paiement,""), "")</f>
        <v>70</v>
      </c>
      <c r="E84" s="17">
        <f ca="1">IFERROR(IF(Prêt_Non_Payé*Valeurs_Entrées,Paiement_Date,""), "")</f>
        <v>47433</v>
      </c>
      <c r="F84" s="14">
        <f ca="1">IFERROR(IF(Prêt_Non_Payé*Valeurs_Entrées,Début_Solde,""), "")</f>
        <v>197499.00442674226</v>
      </c>
      <c r="G84" s="14">
        <f ca="1">IFERROR(IF(Prêt_Non_Payé*Valeurs_Entrées,Mensualité,""), "")</f>
        <v>1227.3262210603918</v>
      </c>
      <c r="H84" s="14">
        <f ca="1">IFERROR(IF(Prêt_Non_Payé*Valeurs_Entrées,Capital,""), "")</f>
        <v>568.9962063045806</v>
      </c>
      <c r="I84" s="14">
        <f ca="1">IFERROR(IF(Prêt_Non_Payé*Valeurs_Entrées,Intérêts,""), "")</f>
        <v>658.33001475581136</v>
      </c>
      <c r="J84" s="18">
        <f ca="1">IFERROR(IF(Prêt_Non_Payé*Valeurs_Entrées,Fin_Solde,""), "")</f>
        <v>196930.00822043768</v>
      </c>
    </row>
    <row r="85" spans="2:10" ht="17" customHeight="1">
      <c r="D85" s="16">
        <f ca="1">IFERROR(IF(Prêt_Non_Payé*Valeurs_Entrées,Numéro_Paiement,""), "")</f>
        <v>71</v>
      </c>
      <c r="E85" s="17">
        <f ca="1">IFERROR(IF(Prêt_Non_Payé*Valeurs_Entrées,Paiement_Date,""), "")</f>
        <v>47463</v>
      </c>
      <c r="F85" s="14">
        <f ca="1">IFERROR(IF(Prêt_Non_Payé*Valeurs_Entrées,Début_Solde,""), "")</f>
        <v>196930.00822043768</v>
      </c>
      <c r="G85" s="14">
        <f ca="1">IFERROR(IF(Prêt_Non_Payé*Valeurs_Entrées,Mensualité,""), "")</f>
        <v>1227.3262210603918</v>
      </c>
      <c r="H85" s="14">
        <f ca="1">IFERROR(IF(Prêt_Non_Payé*Valeurs_Entrées,Capital,""), "")</f>
        <v>570.89286032559573</v>
      </c>
      <c r="I85" s="14">
        <f ca="1">IFERROR(IF(Prêt_Non_Payé*Valeurs_Entrées,Intérêts,""), "")</f>
        <v>656.43336073479611</v>
      </c>
      <c r="J85" s="18">
        <f ca="1">IFERROR(IF(Prêt_Non_Payé*Valeurs_Entrées,Fin_Solde,""), "")</f>
        <v>196359.11536011205</v>
      </c>
    </row>
    <row r="86" spans="2:10" ht="17" customHeight="1">
      <c r="B86" s="28">
        <v>6</v>
      </c>
      <c r="D86" s="19">
        <f ca="1">IFERROR(IF(Prêt_Non_Payé*Valeurs_Entrées,Numéro_Paiement,""), "")</f>
        <v>72</v>
      </c>
      <c r="E86" s="27">
        <f ca="1">IFERROR(IF(Prêt_Non_Payé*Valeurs_Entrées,Paiement_Date,""), "")</f>
        <v>47494</v>
      </c>
      <c r="F86" s="18">
        <f ca="1">IFERROR(IF(Prêt_Non_Payé*Valeurs_Entrées,Début_Solde,""), "")</f>
        <v>196359.11536011205</v>
      </c>
      <c r="G86" s="18">
        <f ca="1">IFERROR(IF(Prêt_Non_Payé*Valeurs_Entrées,Mensualité,""), "")</f>
        <v>1227.3262210603918</v>
      </c>
      <c r="H86" s="18">
        <f ca="1">IFERROR(IF(Prêt_Non_Payé*Valeurs_Entrées,Capital,""), "")</f>
        <v>572.79583652668123</v>
      </c>
      <c r="I86" s="18">
        <f ca="1">IFERROR(IF(Prêt_Non_Payé*Valeurs_Entrées,Intérêts,""), "")</f>
        <v>654.53038453371062</v>
      </c>
      <c r="J86" s="18">
        <f ca="1">IFERROR(IF(Prêt_Non_Payé*Valeurs_Entrées,Fin_Solde,""), "")</f>
        <v>195786.31952358535</v>
      </c>
    </row>
    <row r="87" spans="2:10" ht="17" customHeight="1">
      <c r="D87" s="16">
        <f ca="1">IFERROR(IF(Prêt_Non_Payé*Valeurs_Entrées,Numéro_Paiement,""), "")</f>
        <v>73</v>
      </c>
      <c r="E87" s="17">
        <f ca="1">IFERROR(IF(Prêt_Non_Payé*Valeurs_Entrées,Paiement_Date,""), "")</f>
        <v>47525</v>
      </c>
      <c r="F87" s="14">
        <f ca="1">IFERROR(IF(Prêt_Non_Payé*Valeurs_Entrées,Début_Solde,""), "")</f>
        <v>195786.31952358535</v>
      </c>
      <c r="G87" s="14">
        <f ca="1">IFERROR(IF(Prêt_Non_Payé*Valeurs_Entrées,Mensualité,""), "")</f>
        <v>1227.3262210603918</v>
      </c>
      <c r="H87" s="14">
        <f ca="1">IFERROR(IF(Prêt_Non_Payé*Valeurs_Entrées,Capital,""), "")</f>
        <v>574.70515598177008</v>
      </c>
      <c r="I87" s="14">
        <f ca="1">IFERROR(IF(Prêt_Non_Payé*Valeurs_Entrées,Intérêts,""), "")</f>
        <v>652.62106507862177</v>
      </c>
      <c r="J87" s="18">
        <f ca="1">IFERROR(IF(Prêt_Non_Payé*Valeurs_Entrées,Fin_Solde,""), "")</f>
        <v>195211.61436760359</v>
      </c>
    </row>
    <row r="88" spans="2:10" ht="17" customHeight="1">
      <c r="D88" s="16">
        <f ca="1">IFERROR(IF(Prêt_Non_Payé*Valeurs_Entrées,Numéro_Paiement,""), "")</f>
        <v>74</v>
      </c>
      <c r="E88" s="17">
        <f ca="1">IFERROR(IF(Prêt_Non_Payé*Valeurs_Entrées,Paiement_Date,""), "")</f>
        <v>47553</v>
      </c>
      <c r="F88" s="14">
        <f ca="1">IFERROR(IF(Prêt_Non_Payé*Valeurs_Entrées,Début_Solde,""), "")</f>
        <v>195211.61436760359</v>
      </c>
      <c r="G88" s="14">
        <f ca="1">IFERROR(IF(Prêt_Non_Payé*Valeurs_Entrées,Mensualité,""), "")</f>
        <v>1227.3262210603918</v>
      </c>
      <c r="H88" s="14">
        <f ca="1">IFERROR(IF(Prêt_Non_Payé*Valeurs_Entrées,Capital,""), "")</f>
        <v>576.6208398350426</v>
      </c>
      <c r="I88" s="14">
        <f ca="1">IFERROR(IF(Prêt_Non_Payé*Valeurs_Entrées,Intérêts,""), "")</f>
        <v>650.70538122534924</v>
      </c>
      <c r="J88" s="18">
        <f ca="1">IFERROR(IF(Prêt_Non_Payé*Valeurs_Entrées,Fin_Solde,""), "")</f>
        <v>194634.9935277685</v>
      </c>
    </row>
    <row r="89" spans="2:10" ht="17" customHeight="1">
      <c r="D89" s="16">
        <f ca="1">IFERROR(IF(Prêt_Non_Payé*Valeurs_Entrées,Numéro_Paiement,""), "")</f>
        <v>75</v>
      </c>
      <c r="E89" s="17">
        <f ca="1">IFERROR(IF(Prêt_Non_Payé*Valeurs_Entrées,Paiement_Date,""), "")</f>
        <v>47584</v>
      </c>
      <c r="F89" s="14">
        <f ca="1">IFERROR(IF(Prêt_Non_Payé*Valeurs_Entrées,Début_Solde,""), "")</f>
        <v>194634.9935277685</v>
      </c>
      <c r="G89" s="14">
        <f ca="1">IFERROR(IF(Prêt_Non_Payé*Valeurs_Entrées,Mensualité,""), "")</f>
        <v>1227.3262210603918</v>
      </c>
      <c r="H89" s="14">
        <f ca="1">IFERROR(IF(Prêt_Non_Payé*Valeurs_Entrées,Capital,""), "")</f>
        <v>578.5429093011594</v>
      </c>
      <c r="I89" s="14">
        <f ca="1">IFERROR(IF(Prêt_Non_Payé*Valeurs_Entrées,Intérêts,""), "")</f>
        <v>648.78331175923245</v>
      </c>
      <c r="J89" s="18">
        <f ca="1">IFERROR(IF(Prêt_Non_Payé*Valeurs_Entrées,Fin_Solde,""), "")</f>
        <v>194056.45061846732</v>
      </c>
    </row>
    <row r="90" spans="2:10" ht="17" customHeight="1">
      <c r="D90" s="16">
        <f ca="1">IFERROR(IF(Prêt_Non_Payé*Valeurs_Entrées,Numéro_Paiement,""), "")</f>
        <v>76</v>
      </c>
      <c r="E90" s="17">
        <f ca="1">IFERROR(IF(Prêt_Non_Payé*Valeurs_Entrées,Paiement_Date,""), "")</f>
        <v>47614</v>
      </c>
      <c r="F90" s="14">
        <f ca="1">IFERROR(IF(Prêt_Non_Payé*Valeurs_Entrées,Début_Solde,""), "")</f>
        <v>194056.45061846732</v>
      </c>
      <c r="G90" s="14">
        <f ca="1">IFERROR(IF(Prêt_Non_Payé*Valeurs_Entrées,Mensualité,""), "")</f>
        <v>1227.3262210603918</v>
      </c>
      <c r="H90" s="14">
        <f ca="1">IFERROR(IF(Prêt_Non_Payé*Valeurs_Entrées,Capital,""), "")</f>
        <v>580.47138566549665</v>
      </c>
      <c r="I90" s="14">
        <f ca="1">IFERROR(IF(Prêt_Non_Payé*Valeurs_Entrées,Intérêts,""), "")</f>
        <v>646.85483539489519</v>
      </c>
      <c r="J90" s="18">
        <f ca="1">IFERROR(IF(Prêt_Non_Payé*Valeurs_Entrées,Fin_Solde,""), "")</f>
        <v>193475.97923280182</v>
      </c>
    </row>
    <row r="91" spans="2:10" ht="17" customHeight="1">
      <c r="D91" s="16">
        <f ca="1">IFERROR(IF(Prêt_Non_Payé*Valeurs_Entrées,Numéro_Paiement,""), "")</f>
        <v>77</v>
      </c>
      <c r="E91" s="17">
        <f ca="1">IFERROR(IF(Prêt_Non_Payé*Valeurs_Entrées,Paiement_Date,""), "")</f>
        <v>47645</v>
      </c>
      <c r="F91" s="14">
        <f ca="1">IFERROR(IF(Prêt_Non_Payé*Valeurs_Entrées,Début_Solde,""), "")</f>
        <v>193475.97923280182</v>
      </c>
      <c r="G91" s="14">
        <f ca="1">IFERROR(IF(Prêt_Non_Payé*Valeurs_Entrées,Mensualité,""), "")</f>
        <v>1227.3262210603918</v>
      </c>
      <c r="H91" s="14">
        <f ca="1">IFERROR(IF(Prêt_Non_Payé*Valeurs_Entrées,Capital,""), "")</f>
        <v>582.40629028438173</v>
      </c>
      <c r="I91" s="14">
        <f ca="1">IFERROR(IF(Prêt_Non_Payé*Valeurs_Entrées,Intérêts,""), "")</f>
        <v>644.91993077601023</v>
      </c>
      <c r="J91" s="18">
        <f ca="1">IFERROR(IF(Prêt_Non_Payé*Valeurs_Entrées,Fin_Solde,""), "")</f>
        <v>192893.57294251741</v>
      </c>
    </row>
    <row r="92" spans="2:10" ht="17" customHeight="1">
      <c r="D92" s="16">
        <f ca="1">IFERROR(IF(Prêt_Non_Payé*Valeurs_Entrées,Numéro_Paiement,""), "")</f>
        <v>78</v>
      </c>
      <c r="E92" s="17">
        <f ca="1">IFERROR(IF(Prêt_Non_Payé*Valeurs_Entrées,Paiement_Date,""), "")</f>
        <v>47675</v>
      </c>
      <c r="F92" s="14">
        <f ca="1">IFERROR(IF(Prêt_Non_Payé*Valeurs_Entrées,Début_Solde,""), "")</f>
        <v>192893.57294251741</v>
      </c>
      <c r="G92" s="14">
        <f ca="1">IFERROR(IF(Prêt_Non_Payé*Valeurs_Entrées,Mensualité,""), "")</f>
        <v>1227.3262210603918</v>
      </c>
      <c r="H92" s="14">
        <f ca="1">IFERROR(IF(Prêt_Non_Payé*Valeurs_Entrées,Capital,""), "")</f>
        <v>584.34764458532959</v>
      </c>
      <c r="I92" s="14">
        <f ca="1">IFERROR(IF(Prêt_Non_Payé*Valeurs_Entrées,Intérêts,""), "")</f>
        <v>642.97857647506225</v>
      </c>
      <c r="J92" s="18">
        <f ca="1">IFERROR(IF(Prêt_Non_Payé*Valeurs_Entrées,Fin_Solde,""), "")</f>
        <v>192309.22529793208</v>
      </c>
    </row>
    <row r="93" spans="2:10" ht="17" customHeight="1">
      <c r="D93" s="16">
        <f ca="1">IFERROR(IF(Prêt_Non_Payé*Valeurs_Entrées,Numéro_Paiement,""), "")</f>
        <v>79</v>
      </c>
      <c r="E93" s="17">
        <f ca="1">IFERROR(IF(Prêt_Non_Payé*Valeurs_Entrées,Paiement_Date,""), "")</f>
        <v>47706</v>
      </c>
      <c r="F93" s="14">
        <f ca="1">IFERROR(IF(Prêt_Non_Payé*Valeurs_Entrées,Début_Solde,""), "")</f>
        <v>192309.22529793208</v>
      </c>
      <c r="G93" s="14">
        <f ca="1">IFERROR(IF(Prêt_Non_Payé*Valeurs_Entrées,Mensualité,""), "")</f>
        <v>1227.3262210603918</v>
      </c>
      <c r="H93" s="14">
        <f ca="1">IFERROR(IF(Prêt_Non_Payé*Valeurs_Entrées,Capital,""), "")</f>
        <v>586.29547006728069</v>
      </c>
      <c r="I93" s="14">
        <f ca="1">IFERROR(IF(Prêt_Non_Payé*Valeurs_Entrées,Intérêts,""), "")</f>
        <v>641.03075099311116</v>
      </c>
      <c r="J93" s="18">
        <f ca="1">IFERROR(IF(Prêt_Non_Payé*Valeurs_Entrées,Fin_Solde,""), "")</f>
        <v>191722.92982786475</v>
      </c>
    </row>
    <row r="94" spans="2:10" ht="17" customHeight="1">
      <c r="D94" s="16">
        <f ca="1">IFERROR(IF(Prêt_Non_Payé*Valeurs_Entrées,Numéro_Paiement,""), "")</f>
        <v>80</v>
      </c>
      <c r="E94" s="17">
        <f ca="1">IFERROR(IF(Prêt_Non_Payé*Valeurs_Entrées,Paiement_Date,""), "")</f>
        <v>47737</v>
      </c>
      <c r="F94" s="14">
        <f ca="1">IFERROR(IF(Prêt_Non_Payé*Valeurs_Entrées,Début_Solde,""), "")</f>
        <v>191722.92982786475</v>
      </c>
      <c r="G94" s="14">
        <f ca="1">IFERROR(IF(Prêt_Non_Payé*Valeurs_Entrées,Mensualité,""), "")</f>
        <v>1227.3262210603918</v>
      </c>
      <c r="H94" s="14">
        <f ca="1">IFERROR(IF(Prêt_Non_Payé*Valeurs_Entrées,Capital,""), "")</f>
        <v>588.2497883008383</v>
      </c>
      <c r="I94" s="14">
        <f ca="1">IFERROR(IF(Prêt_Non_Payé*Valeurs_Entrées,Intérêts,""), "")</f>
        <v>639.07643275955354</v>
      </c>
      <c r="J94" s="18">
        <f ca="1">IFERROR(IF(Prêt_Non_Payé*Valeurs_Entrées,Fin_Solde,""), "")</f>
        <v>191134.68003956386</v>
      </c>
    </row>
    <row r="95" spans="2:10" ht="17" customHeight="1">
      <c r="D95" s="16">
        <f ca="1">IFERROR(IF(Prêt_Non_Payé*Valeurs_Entrées,Numéro_Paiement,""), "")</f>
        <v>81</v>
      </c>
      <c r="E95" s="17">
        <f ca="1">IFERROR(IF(Prêt_Non_Payé*Valeurs_Entrées,Paiement_Date,""), "")</f>
        <v>47767</v>
      </c>
      <c r="F95" s="14">
        <f ca="1">IFERROR(IF(Prêt_Non_Payé*Valeurs_Entrées,Début_Solde,""), "")</f>
        <v>191134.68003956386</v>
      </c>
      <c r="G95" s="14">
        <f ca="1">IFERROR(IF(Prêt_Non_Payé*Valeurs_Entrées,Mensualité,""), "")</f>
        <v>1227.3262210603918</v>
      </c>
      <c r="H95" s="14">
        <f ca="1">IFERROR(IF(Prêt_Non_Payé*Valeurs_Entrées,Capital,""), "")</f>
        <v>590.21062092850786</v>
      </c>
      <c r="I95" s="14">
        <f ca="1">IFERROR(IF(Prêt_Non_Payé*Valeurs_Entrées,Intérêts,""), "")</f>
        <v>637.11560013188421</v>
      </c>
      <c r="J95" s="18">
        <f ca="1">IFERROR(IF(Prêt_Non_Payé*Valeurs_Entrées,Fin_Solde,""), "")</f>
        <v>190544.4694186353</v>
      </c>
    </row>
    <row r="96" spans="2:10" ht="17" customHeight="1">
      <c r="D96" s="16">
        <f ca="1">IFERROR(IF(Prêt_Non_Payé*Valeurs_Entrées,Numéro_Paiement,""), "")</f>
        <v>82</v>
      </c>
      <c r="E96" s="17">
        <f ca="1">IFERROR(IF(Prêt_Non_Payé*Valeurs_Entrées,Paiement_Date,""), "")</f>
        <v>47798</v>
      </c>
      <c r="F96" s="14">
        <f ca="1">IFERROR(IF(Prêt_Non_Payé*Valeurs_Entrées,Début_Solde,""), "")</f>
        <v>190544.4694186353</v>
      </c>
      <c r="G96" s="14">
        <f ca="1">IFERROR(IF(Prêt_Non_Payé*Valeurs_Entrées,Mensualité,""), "")</f>
        <v>1227.3262210603918</v>
      </c>
      <c r="H96" s="14">
        <f ca="1">IFERROR(IF(Prêt_Non_Payé*Valeurs_Entrées,Capital,""), "")</f>
        <v>592.17798966493604</v>
      </c>
      <c r="I96" s="14">
        <f ca="1">IFERROR(IF(Prêt_Non_Payé*Valeurs_Entrées,Intérêts,""), "")</f>
        <v>635.14823139545581</v>
      </c>
      <c r="J96" s="18">
        <f ca="1">IFERROR(IF(Prêt_Non_Payé*Valeurs_Entrées,Fin_Solde,""), "")</f>
        <v>189952.29142897038</v>
      </c>
    </row>
    <row r="97" spans="2:10" ht="17" customHeight="1">
      <c r="D97" s="16">
        <f ca="1">IFERROR(IF(Prêt_Non_Payé*Valeurs_Entrées,Numéro_Paiement,""), "")</f>
        <v>83</v>
      </c>
      <c r="E97" s="17">
        <f ca="1">IFERROR(IF(Prêt_Non_Payé*Valeurs_Entrées,Paiement_Date,""), "")</f>
        <v>47828</v>
      </c>
      <c r="F97" s="14">
        <f ca="1">IFERROR(IF(Prêt_Non_Payé*Valeurs_Entrées,Début_Solde,""), "")</f>
        <v>189952.29142897038</v>
      </c>
      <c r="G97" s="14">
        <f ca="1">IFERROR(IF(Prêt_Non_Payé*Valeurs_Entrées,Mensualité,""), "")</f>
        <v>1227.3262210603918</v>
      </c>
      <c r="H97" s="14">
        <f ca="1">IFERROR(IF(Prêt_Non_Payé*Valeurs_Entrées,Capital,""), "")</f>
        <v>594.15191629715252</v>
      </c>
      <c r="I97" s="14">
        <f ca="1">IFERROR(IF(Prêt_Non_Payé*Valeurs_Entrées,Intérêts,""), "")</f>
        <v>633.17430476323932</v>
      </c>
      <c r="J97" s="18">
        <f ca="1">IFERROR(IF(Prêt_Non_Payé*Valeurs_Entrées,Fin_Solde,""), "")</f>
        <v>189358.13951267319</v>
      </c>
    </row>
    <row r="98" spans="2:10" ht="17" customHeight="1">
      <c r="B98" s="28">
        <v>7</v>
      </c>
      <c r="D98" s="19">
        <f ca="1">IFERROR(IF(Prêt_Non_Payé*Valeurs_Entrées,Numéro_Paiement,""), "")</f>
        <v>84</v>
      </c>
      <c r="E98" s="27">
        <f ca="1">IFERROR(IF(Prêt_Non_Payé*Valeurs_Entrées,Paiement_Date,""), "")</f>
        <v>47859</v>
      </c>
      <c r="F98" s="18">
        <f ca="1">IFERROR(IF(Prêt_Non_Payé*Valeurs_Entrées,Début_Solde,""), "")</f>
        <v>189358.13951267319</v>
      </c>
      <c r="G98" s="18">
        <f ca="1">IFERROR(IF(Prêt_Non_Payé*Valeurs_Entrées,Mensualité,""), "")</f>
        <v>1227.3262210603918</v>
      </c>
      <c r="H98" s="18">
        <f ca="1">IFERROR(IF(Prêt_Non_Payé*Valeurs_Entrées,Capital,""), "")</f>
        <v>596.13242268480974</v>
      </c>
      <c r="I98" s="18">
        <f ca="1">IFERROR(IF(Prêt_Non_Payé*Valeurs_Entrées,Intérêts,""), "")</f>
        <v>631.19379837558211</v>
      </c>
      <c r="J98" s="18">
        <f ca="1">IFERROR(IF(Prêt_Non_Payé*Valeurs_Entrées,Fin_Solde,""), "")</f>
        <v>188762.00708998839</v>
      </c>
    </row>
    <row r="99" spans="2:10" ht="17" customHeight="1">
      <c r="D99" s="16">
        <f ca="1">IFERROR(IF(Prêt_Non_Payé*Valeurs_Entrées,Numéro_Paiement,""), "")</f>
        <v>85</v>
      </c>
      <c r="E99" s="17">
        <f ca="1">IFERROR(IF(Prêt_Non_Payé*Valeurs_Entrées,Paiement_Date,""), "")</f>
        <v>47890</v>
      </c>
      <c r="F99" s="14">
        <f ca="1">IFERROR(IF(Prêt_Non_Payé*Valeurs_Entrées,Début_Solde,""), "")</f>
        <v>188762.00708998839</v>
      </c>
      <c r="G99" s="14">
        <f ca="1">IFERROR(IF(Prêt_Non_Payé*Valeurs_Entrées,Mensualité,""), "")</f>
        <v>1227.3262210603918</v>
      </c>
      <c r="H99" s="14">
        <f ca="1">IFERROR(IF(Prêt_Non_Payé*Valeurs_Entrées,Capital,""), "")</f>
        <v>598.11953076042573</v>
      </c>
      <c r="I99" s="14">
        <f ca="1">IFERROR(IF(Prêt_Non_Payé*Valeurs_Entrées,Intérêts,""), "")</f>
        <v>629.20669029996623</v>
      </c>
      <c r="J99" s="18">
        <f ca="1">IFERROR(IF(Prêt_Non_Payé*Valeurs_Entrées,Fin_Solde,""), "")</f>
        <v>188163.88755922797</v>
      </c>
    </row>
    <row r="100" spans="2:10" ht="17" customHeight="1">
      <c r="D100" s="16">
        <f ca="1">IFERROR(IF(Prêt_Non_Payé*Valeurs_Entrées,Numéro_Paiement,""), "")</f>
        <v>86</v>
      </c>
      <c r="E100" s="17">
        <f ca="1">IFERROR(IF(Prêt_Non_Payé*Valeurs_Entrées,Paiement_Date,""), "")</f>
        <v>47918</v>
      </c>
      <c r="F100" s="14">
        <f ca="1">IFERROR(IF(Prêt_Non_Payé*Valeurs_Entrées,Début_Solde,""), "")</f>
        <v>188163.88755922797</v>
      </c>
      <c r="G100" s="14">
        <f ca="1">IFERROR(IF(Prêt_Non_Payé*Valeurs_Entrées,Mensualité,""), "")</f>
        <v>1227.3262210603918</v>
      </c>
      <c r="H100" s="14">
        <f ca="1">IFERROR(IF(Prêt_Non_Payé*Valeurs_Entrées,Capital,""), "")</f>
        <v>600.11326252962715</v>
      </c>
      <c r="I100" s="14">
        <f ca="1">IFERROR(IF(Prêt_Non_Payé*Valeurs_Entrées,Intérêts,""), "")</f>
        <v>627.21295853076481</v>
      </c>
      <c r="J100" s="18">
        <f ca="1">IFERROR(IF(Prêt_Non_Payé*Valeurs_Entrées,Fin_Solde,""), "")</f>
        <v>187563.77429669828</v>
      </c>
    </row>
    <row r="101" spans="2:10" ht="17" customHeight="1">
      <c r="D101" s="16">
        <f ca="1">IFERROR(IF(Prêt_Non_Payé*Valeurs_Entrées,Numéro_Paiement,""), "")</f>
        <v>87</v>
      </c>
      <c r="E101" s="17">
        <f ca="1">IFERROR(IF(Prêt_Non_Payé*Valeurs_Entrées,Paiement_Date,""), "")</f>
        <v>47949</v>
      </c>
      <c r="F101" s="14">
        <f ca="1">IFERROR(IF(Prêt_Non_Payé*Valeurs_Entrées,Début_Solde,""), "")</f>
        <v>187563.77429669828</v>
      </c>
      <c r="G101" s="14">
        <f ca="1">IFERROR(IF(Prêt_Non_Payé*Valeurs_Entrées,Mensualité,""), "")</f>
        <v>1227.3262210603918</v>
      </c>
      <c r="H101" s="14">
        <f ca="1">IFERROR(IF(Prêt_Non_Payé*Valeurs_Entrées,Capital,""), "")</f>
        <v>602.11364007139264</v>
      </c>
      <c r="I101" s="14">
        <f ca="1">IFERROR(IF(Prêt_Non_Payé*Valeurs_Entrées,Intérêts,""), "")</f>
        <v>625.21258098899921</v>
      </c>
      <c r="J101" s="18">
        <f ca="1">IFERROR(IF(Prêt_Non_Payé*Valeurs_Entrées,Fin_Solde,""), "")</f>
        <v>186961.66065662686</v>
      </c>
    </row>
    <row r="102" spans="2:10" ht="17" customHeight="1">
      <c r="D102" s="16">
        <f ca="1">IFERROR(IF(Prêt_Non_Payé*Valeurs_Entrées,Numéro_Paiement,""), "")</f>
        <v>88</v>
      </c>
      <c r="E102" s="17">
        <f ca="1">IFERROR(IF(Prêt_Non_Payé*Valeurs_Entrées,Paiement_Date,""), "")</f>
        <v>47979</v>
      </c>
      <c r="F102" s="14">
        <f ca="1">IFERROR(IF(Prêt_Non_Payé*Valeurs_Entrées,Début_Solde,""), "")</f>
        <v>186961.66065662686</v>
      </c>
      <c r="G102" s="14">
        <f ca="1">IFERROR(IF(Prêt_Non_Payé*Valeurs_Entrées,Mensualité,""), "")</f>
        <v>1227.3262210603918</v>
      </c>
      <c r="H102" s="14">
        <f ca="1">IFERROR(IF(Prêt_Non_Payé*Valeurs_Entrées,Capital,""), "")</f>
        <v>604.12068553829738</v>
      </c>
      <c r="I102" s="14">
        <f ca="1">IFERROR(IF(Prêt_Non_Payé*Valeurs_Entrées,Intérêts,""), "")</f>
        <v>623.20553552209446</v>
      </c>
      <c r="J102" s="18">
        <f ca="1">IFERROR(IF(Prêt_Non_Payé*Valeurs_Entrées,Fin_Solde,""), "")</f>
        <v>186357.53997108858</v>
      </c>
    </row>
    <row r="103" spans="2:10" ht="17" customHeight="1">
      <c r="D103" s="16">
        <f ca="1">IFERROR(IF(Prêt_Non_Payé*Valeurs_Entrées,Numéro_Paiement,""), "")</f>
        <v>89</v>
      </c>
      <c r="E103" s="17">
        <f ca="1">IFERROR(IF(Prêt_Non_Payé*Valeurs_Entrées,Paiement_Date,""), "")</f>
        <v>48010</v>
      </c>
      <c r="F103" s="14">
        <f ca="1">IFERROR(IF(Prêt_Non_Payé*Valeurs_Entrées,Début_Solde,""), "")</f>
        <v>186357.53997108858</v>
      </c>
      <c r="G103" s="14">
        <f ca="1">IFERROR(IF(Prêt_Non_Payé*Valeurs_Entrées,Mensualité,""), "")</f>
        <v>1227.3262210603918</v>
      </c>
      <c r="H103" s="14">
        <f ca="1">IFERROR(IF(Prêt_Non_Payé*Valeurs_Entrées,Capital,""), "")</f>
        <v>606.13442115675832</v>
      </c>
      <c r="I103" s="14">
        <f ca="1">IFERROR(IF(Prêt_Non_Payé*Valeurs_Entrées,Intérêts,""), "")</f>
        <v>621.19179990363364</v>
      </c>
      <c r="J103" s="18">
        <f ca="1">IFERROR(IF(Prêt_Non_Payé*Valeurs_Entrées,Fin_Solde,""), "")</f>
        <v>185751.40554993183</v>
      </c>
    </row>
    <row r="104" spans="2:10" ht="17" customHeight="1">
      <c r="D104" s="16">
        <f ca="1">IFERROR(IF(Prêt_Non_Payé*Valeurs_Entrées,Numéro_Paiement,""), "")</f>
        <v>90</v>
      </c>
      <c r="E104" s="17">
        <f ca="1">IFERROR(IF(Prêt_Non_Payé*Valeurs_Entrées,Paiement_Date,""), "")</f>
        <v>48040</v>
      </c>
      <c r="F104" s="14">
        <f ca="1">IFERROR(IF(Prêt_Non_Payé*Valeurs_Entrées,Début_Solde,""), "")</f>
        <v>185751.40554993183</v>
      </c>
      <c r="G104" s="14">
        <f ca="1">IFERROR(IF(Prêt_Non_Payé*Valeurs_Entrées,Mensualité,""), "")</f>
        <v>1227.3262210603918</v>
      </c>
      <c r="H104" s="14">
        <f ca="1">IFERROR(IF(Prêt_Non_Payé*Valeurs_Entrées,Capital,""), "")</f>
        <v>608.15486922728076</v>
      </c>
      <c r="I104" s="14">
        <f ca="1">IFERROR(IF(Prêt_Non_Payé*Valeurs_Entrées,Intérêts,""), "")</f>
        <v>619.17135183311109</v>
      </c>
      <c r="J104" s="18">
        <f ca="1">IFERROR(IF(Prêt_Non_Payé*Valeurs_Entrées,Fin_Solde,""), "")</f>
        <v>185143.25068070454</v>
      </c>
    </row>
    <row r="105" spans="2:10" ht="17" customHeight="1">
      <c r="D105" s="16">
        <f ca="1">IFERROR(IF(Prêt_Non_Payé*Valeurs_Entrées,Numéro_Paiement,""), "")</f>
        <v>91</v>
      </c>
      <c r="E105" s="17">
        <f ca="1">IFERROR(IF(Prêt_Non_Payé*Valeurs_Entrées,Paiement_Date,""), "")</f>
        <v>48071</v>
      </c>
      <c r="F105" s="14">
        <f ca="1">IFERROR(IF(Prêt_Non_Payé*Valeurs_Entrées,Début_Solde,""), "")</f>
        <v>185143.25068070454</v>
      </c>
      <c r="G105" s="14">
        <f ca="1">IFERROR(IF(Prêt_Non_Payé*Valeurs_Entrées,Mensualité,""), "")</f>
        <v>1227.3262210603918</v>
      </c>
      <c r="H105" s="14">
        <f ca="1">IFERROR(IF(Prêt_Non_Payé*Valeurs_Entrées,Capital,""), "")</f>
        <v>610.18205212470502</v>
      </c>
      <c r="I105" s="14">
        <f ca="1">IFERROR(IF(Prêt_Non_Payé*Valeurs_Entrées,Intérêts,""), "")</f>
        <v>617.14416893568693</v>
      </c>
      <c r="J105" s="18">
        <f ca="1">IFERROR(IF(Prêt_Non_Payé*Valeurs_Entrées,Fin_Solde,""), "")</f>
        <v>184533.06862857979</v>
      </c>
    </row>
    <row r="106" spans="2:10" ht="17" customHeight="1">
      <c r="D106" s="16">
        <f ca="1">IFERROR(IF(Prêt_Non_Payé*Valeurs_Entrées,Numéro_Paiement,""), "")</f>
        <v>92</v>
      </c>
      <c r="E106" s="17">
        <f ca="1">IFERROR(IF(Prêt_Non_Payé*Valeurs_Entrées,Paiement_Date,""), "")</f>
        <v>48102</v>
      </c>
      <c r="F106" s="14">
        <f ca="1">IFERROR(IF(Prêt_Non_Payé*Valeurs_Entrées,Début_Solde,""), "")</f>
        <v>184533.06862857979</v>
      </c>
      <c r="G106" s="14">
        <f ca="1">IFERROR(IF(Prêt_Non_Payé*Valeurs_Entrées,Mensualité,""), "")</f>
        <v>1227.3262210603918</v>
      </c>
      <c r="H106" s="14">
        <f ca="1">IFERROR(IF(Prêt_Non_Payé*Valeurs_Entrées,Capital,""), "")</f>
        <v>612.21599229845401</v>
      </c>
      <c r="I106" s="14">
        <f ca="1">IFERROR(IF(Prêt_Non_Payé*Valeurs_Entrées,Intérêts,""), "")</f>
        <v>615.11022876193772</v>
      </c>
      <c r="J106" s="18">
        <f ca="1">IFERROR(IF(Prêt_Non_Payé*Valeurs_Entrées,Fin_Solde,""), "")</f>
        <v>183920.85263628131</v>
      </c>
    </row>
    <row r="107" spans="2:10" ht="17" customHeight="1">
      <c r="D107" s="16">
        <f ca="1">IFERROR(IF(Prêt_Non_Payé*Valeurs_Entrées,Numéro_Paiement,""), "")</f>
        <v>93</v>
      </c>
      <c r="E107" s="17">
        <f ca="1">IFERROR(IF(Prêt_Non_Payé*Valeurs_Entrées,Paiement_Date,""), "")</f>
        <v>48132</v>
      </c>
      <c r="F107" s="14">
        <f ca="1">IFERROR(IF(Prêt_Non_Payé*Valeurs_Entrées,Début_Solde,""), "")</f>
        <v>183920.85263628131</v>
      </c>
      <c r="G107" s="14">
        <f ca="1">IFERROR(IF(Prêt_Non_Payé*Valeurs_Entrées,Mensualité,""), "")</f>
        <v>1227.3262210603918</v>
      </c>
      <c r="H107" s="14">
        <f ca="1">IFERROR(IF(Prêt_Non_Payé*Valeurs_Entrées,Capital,""), "")</f>
        <v>614.25671227278224</v>
      </c>
      <c r="I107" s="14">
        <f ca="1">IFERROR(IF(Prêt_Non_Payé*Valeurs_Entrées,Intérêts,""), "")</f>
        <v>613.06950878760961</v>
      </c>
      <c r="J107" s="18">
        <f ca="1">IFERROR(IF(Prêt_Non_Payé*Valeurs_Entrées,Fin_Solde,""), "")</f>
        <v>183306.59592400852</v>
      </c>
    </row>
    <row r="108" spans="2:10" ht="17" customHeight="1">
      <c r="D108" s="16">
        <f ca="1">IFERROR(IF(Prêt_Non_Payé*Valeurs_Entrées,Numéro_Paiement,""), "")</f>
        <v>94</v>
      </c>
      <c r="E108" s="17">
        <f ca="1">IFERROR(IF(Prêt_Non_Payé*Valeurs_Entrées,Paiement_Date,""), "")</f>
        <v>48163</v>
      </c>
      <c r="F108" s="14">
        <f ca="1">IFERROR(IF(Prêt_Non_Payé*Valeurs_Entrées,Début_Solde,""), "")</f>
        <v>183306.59592400852</v>
      </c>
      <c r="G108" s="14">
        <f ca="1">IFERROR(IF(Prêt_Non_Payé*Valeurs_Entrées,Mensualité,""), "")</f>
        <v>1227.3262210603918</v>
      </c>
      <c r="H108" s="14">
        <f ca="1">IFERROR(IF(Prêt_Non_Payé*Valeurs_Entrées,Capital,""), "")</f>
        <v>616.30423464702483</v>
      </c>
      <c r="I108" s="14">
        <f ca="1">IFERROR(IF(Prêt_Non_Payé*Valeurs_Entrées,Intérêts,""), "")</f>
        <v>611.02198641336702</v>
      </c>
      <c r="J108" s="18">
        <f ca="1">IFERROR(IF(Prêt_Non_Payé*Valeurs_Entrées,Fin_Solde,""), "")</f>
        <v>182690.29168936147</v>
      </c>
    </row>
    <row r="109" spans="2:10" ht="17" customHeight="1">
      <c r="D109" s="16">
        <f ca="1">IFERROR(IF(Prêt_Non_Payé*Valeurs_Entrées,Numéro_Paiement,""), "")</f>
        <v>95</v>
      </c>
      <c r="E109" s="17">
        <f ca="1">IFERROR(IF(Prêt_Non_Payé*Valeurs_Entrées,Paiement_Date,""), "")</f>
        <v>48193</v>
      </c>
      <c r="F109" s="14">
        <f ca="1">IFERROR(IF(Prêt_Non_Payé*Valeurs_Entrées,Début_Solde,""), "")</f>
        <v>182690.29168936147</v>
      </c>
      <c r="G109" s="14">
        <f ca="1">IFERROR(IF(Prêt_Non_Payé*Valeurs_Entrées,Mensualité,""), "")</f>
        <v>1227.3262210603918</v>
      </c>
      <c r="H109" s="14">
        <f ca="1">IFERROR(IF(Prêt_Non_Payé*Valeurs_Entrées,Capital,""), "")</f>
        <v>618.35858209584819</v>
      </c>
      <c r="I109" s="14">
        <f ca="1">IFERROR(IF(Prêt_Non_Payé*Valeurs_Entrées,Intérêts,""), "")</f>
        <v>608.96763896454354</v>
      </c>
      <c r="J109" s="18">
        <f ca="1">IFERROR(IF(Prêt_Non_Payé*Valeurs_Entrées,Fin_Solde,""), "")</f>
        <v>182071.93310726559</v>
      </c>
    </row>
    <row r="110" spans="2:10" ht="17" customHeight="1">
      <c r="B110" s="28">
        <v>8</v>
      </c>
      <c r="D110" s="19">
        <f ca="1">IFERROR(IF(Prêt_Non_Payé*Valeurs_Entrées,Numéro_Paiement,""), "")</f>
        <v>96</v>
      </c>
      <c r="E110" s="27">
        <f ca="1">IFERROR(IF(Prêt_Non_Payé*Valeurs_Entrées,Paiement_Date,""), "")</f>
        <v>48224</v>
      </c>
      <c r="F110" s="18">
        <f ca="1">IFERROR(IF(Prêt_Non_Payé*Valeurs_Entrées,Début_Solde,""), "")</f>
        <v>182071.93310726559</v>
      </c>
      <c r="G110" s="18">
        <f ca="1">IFERROR(IF(Prêt_Non_Payé*Valeurs_Entrées,Mensualité,""), "")</f>
        <v>1227.3262210603918</v>
      </c>
      <c r="H110" s="18">
        <f ca="1">IFERROR(IF(Prêt_Non_Payé*Valeurs_Entrées,Capital,""), "")</f>
        <v>620.41977736950105</v>
      </c>
      <c r="I110" s="18">
        <f ca="1">IFERROR(IF(Prêt_Non_Payé*Valeurs_Entrées,Intérêts,""), "")</f>
        <v>606.9064436908908</v>
      </c>
      <c r="J110" s="18">
        <f ca="1">IFERROR(IF(Prêt_Non_Payé*Valeurs_Entrées,Fin_Solde,""), "")</f>
        <v>181451.51332989606</v>
      </c>
    </row>
    <row r="111" spans="2:10" ht="17" customHeight="1">
      <c r="D111" s="16">
        <f ca="1">IFERROR(IF(Prêt_Non_Payé*Valeurs_Entrées,Numéro_Paiement,""), "")</f>
        <v>97</v>
      </c>
      <c r="E111" s="17">
        <f ca="1">IFERROR(IF(Prêt_Non_Payé*Valeurs_Entrées,Paiement_Date,""), "")</f>
        <v>48255</v>
      </c>
      <c r="F111" s="14">
        <f ca="1">IFERROR(IF(Prêt_Non_Payé*Valeurs_Entrées,Début_Solde,""), "")</f>
        <v>181451.51332989606</v>
      </c>
      <c r="G111" s="14">
        <f ca="1">IFERROR(IF(Prêt_Non_Payé*Valeurs_Entrées,Mensualité,""), "")</f>
        <v>1227.3262210603918</v>
      </c>
      <c r="H111" s="14">
        <f ca="1">IFERROR(IF(Prêt_Non_Payé*Valeurs_Entrées,Capital,""), "")</f>
        <v>622.48784329406612</v>
      </c>
      <c r="I111" s="14">
        <f ca="1">IFERROR(IF(Prêt_Non_Payé*Valeurs_Entrées,Intérêts,""), "")</f>
        <v>604.83837776632583</v>
      </c>
      <c r="J111" s="18">
        <f ca="1">IFERROR(IF(Prêt_Non_Payé*Valeurs_Entrées,Fin_Solde,""), "")</f>
        <v>180829.02548660195</v>
      </c>
    </row>
    <row r="112" spans="2:10" ht="17" customHeight="1">
      <c r="D112" s="16">
        <f ca="1">IFERROR(IF(Prêt_Non_Payé*Valeurs_Entrées,Numéro_Paiement,""), "")</f>
        <v>98</v>
      </c>
      <c r="E112" s="17">
        <f ca="1">IFERROR(IF(Prêt_Non_Payé*Valeurs_Entrées,Paiement_Date,""), "")</f>
        <v>48284</v>
      </c>
      <c r="F112" s="14">
        <f ca="1">IFERROR(IF(Prêt_Non_Payé*Valeurs_Entrées,Début_Solde,""), "")</f>
        <v>180829.02548660195</v>
      </c>
      <c r="G112" s="14">
        <f ca="1">IFERROR(IF(Prêt_Non_Payé*Valeurs_Entrées,Mensualité,""), "")</f>
        <v>1227.3262210603918</v>
      </c>
      <c r="H112" s="14">
        <f ca="1">IFERROR(IF(Prêt_Non_Payé*Valeurs_Entrées,Capital,""), "")</f>
        <v>624.56280277171288</v>
      </c>
      <c r="I112" s="14">
        <f ca="1">IFERROR(IF(Prêt_Non_Payé*Valeurs_Entrées,Intérêts,""), "")</f>
        <v>602.76341828867896</v>
      </c>
      <c r="J112" s="18">
        <f ca="1">IFERROR(IF(Prêt_Non_Payé*Valeurs_Entrées,Fin_Solde,""), "")</f>
        <v>180204.46268383024</v>
      </c>
    </row>
    <row r="113" spans="2:10" ht="17" customHeight="1">
      <c r="D113" s="16">
        <f ca="1">IFERROR(IF(Prêt_Non_Payé*Valeurs_Entrées,Numéro_Paiement,""), "")</f>
        <v>99</v>
      </c>
      <c r="E113" s="17">
        <f ca="1">IFERROR(IF(Prêt_Non_Payé*Valeurs_Entrées,Paiement_Date,""), "")</f>
        <v>48315</v>
      </c>
      <c r="F113" s="14">
        <f ca="1">IFERROR(IF(Prêt_Non_Payé*Valeurs_Entrées,Début_Solde,""), "")</f>
        <v>180204.46268383024</v>
      </c>
      <c r="G113" s="14">
        <f ca="1">IFERROR(IF(Prêt_Non_Payé*Valeurs_Entrées,Mensualité,""), "")</f>
        <v>1227.3262210603918</v>
      </c>
      <c r="H113" s="14">
        <f ca="1">IFERROR(IF(Prêt_Non_Payé*Valeurs_Entrées,Capital,""), "")</f>
        <v>626.64467878095206</v>
      </c>
      <c r="I113" s="14">
        <f ca="1">IFERROR(IF(Prêt_Non_Payé*Valeurs_Entrées,Intérêts,""), "")</f>
        <v>600.6815422794399</v>
      </c>
      <c r="J113" s="18">
        <f ca="1">IFERROR(IF(Prêt_Non_Payé*Valeurs_Entrées,Fin_Solde,""), "")</f>
        <v>179577.81800504919</v>
      </c>
    </row>
    <row r="114" spans="2:10" ht="17" customHeight="1">
      <c r="D114" s="16">
        <f ca="1">IFERROR(IF(Prêt_Non_Payé*Valeurs_Entrées,Numéro_Paiement,""), "")</f>
        <v>100</v>
      </c>
      <c r="E114" s="17">
        <f ca="1">IFERROR(IF(Prêt_Non_Payé*Valeurs_Entrées,Paiement_Date,""), "")</f>
        <v>48345</v>
      </c>
      <c r="F114" s="14">
        <f ca="1">IFERROR(IF(Prêt_Non_Payé*Valeurs_Entrées,Début_Solde,""), "")</f>
        <v>179577.81800504919</v>
      </c>
      <c r="G114" s="14">
        <f ca="1">IFERROR(IF(Prêt_Non_Payé*Valeurs_Entrées,Mensualité,""), "")</f>
        <v>1227.3262210603918</v>
      </c>
      <c r="H114" s="14">
        <f ca="1">IFERROR(IF(Prêt_Non_Payé*Valeurs_Entrées,Capital,""), "")</f>
        <v>628.73349437688864</v>
      </c>
      <c r="I114" s="14">
        <f ca="1">IFERROR(IF(Prêt_Non_Payé*Valeurs_Entrées,Intérêts,""), "")</f>
        <v>598.59272668350332</v>
      </c>
      <c r="J114" s="18">
        <f ca="1">IFERROR(IF(Prêt_Non_Payé*Valeurs_Entrées,Fin_Solde,""), "")</f>
        <v>178949.0845106724</v>
      </c>
    </row>
    <row r="115" spans="2:10" ht="17" customHeight="1">
      <c r="D115" s="16">
        <f ca="1">IFERROR(IF(Prêt_Non_Payé*Valeurs_Entrées,Numéro_Paiement,""), "")</f>
        <v>101</v>
      </c>
      <c r="E115" s="17">
        <f ca="1">IFERROR(IF(Prêt_Non_Payé*Valeurs_Entrées,Paiement_Date,""), "")</f>
        <v>48376</v>
      </c>
      <c r="F115" s="14">
        <f ca="1">IFERROR(IF(Prêt_Non_Payé*Valeurs_Entrées,Début_Solde,""), "")</f>
        <v>178949.0845106724</v>
      </c>
      <c r="G115" s="14">
        <f ca="1">IFERROR(IF(Prêt_Non_Payé*Valeurs_Entrées,Mensualité,""), "")</f>
        <v>1227.3262210603918</v>
      </c>
      <c r="H115" s="14">
        <f ca="1">IFERROR(IF(Prêt_Non_Payé*Valeurs_Entrées,Capital,""), "")</f>
        <v>630.8292726914782</v>
      </c>
      <c r="I115" s="14">
        <f ca="1">IFERROR(IF(Prêt_Non_Payé*Valeurs_Entrées,Intérêts,""), "")</f>
        <v>596.49694836891365</v>
      </c>
      <c r="J115" s="18">
        <f ca="1">IFERROR(IF(Prêt_Non_Payé*Valeurs_Entrées,Fin_Solde,""), "")</f>
        <v>178318.25523798086</v>
      </c>
    </row>
    <row r="116" spans="2:10" ht="17" customHeight="1">
      <c r="D116" s="16">
        <f ca="1">IFERROR(IF(Prêt_Non_Payé*Valeurs_Entrées,Numéro_Paiement,""), "")</f>
        <v>102</v>
      </c>
      <c r="E116" s="17">
        <f ca="1">IFERROR(IF(Prêt_Non_Payé*Valeurs_Entrées,Paiement_Date,""), "")</f>
        <v>48406</v>
      </c>
      <c r="F116" s="14">
        <f ca="1">IFERROR(IF(Prêt_Non_Payé*Valeurs_Entrées,Début_Solde,""), "")</f>
        <v>178318.25523798086</v>
      </c>
      <c r="G116" s="14">
        <f ca="1">IFERROR(IF(Prêt_Non_Payé*Valeurs_Entrées,Mensualité,""), "")</f>
        <v>1227.3262210603918</v>
      </c>
      <c r="H116" s="14">
        <f ca="1">IFERROR(IF(Prêt_Non_Payé*Valeurs_Entrées,Capital,""), "")</f>
        <v>632.93203693378314</v>
      </c>
      <c r="I116" s="14">
        <f ca="1">IFERROR(IF(Prêt_Non_Payé*Valeurs_Entrées,Intérêts,""), "")</f>
        <v>594.39418412660882</v>
      </c>
      <c r="J116" s="18">
        <f ca="1">IFERROR(IF(Prêt_Non_Payé*Valeurs_Entrées,Fin_Solde,""), "")</f>
        <v>177685.32320104699</v>
      </c>
    </row>
    <row r="117" spans="2:10" ht="17" customHeight="1">
      <c r="D117" s="16">
        <f ca="1">IFERROR(IF(Prêt_Non_Payé*Valeurs_Entrées,Numéro_Paiement,""), "")</f>
        <v>103</v>
      </c>
      <c r="E117" s="17">
        <f ca="1">IFERROR(IF(Prêt_Non_Payé*Valeurs_Entrées,Paiement_Date,""), "")</f>
        <v>48437</v>
      </c>
      <c r="F117" s="14">
        <f ca="1">IFERROR(IF(Prêt_Non_Payé*Valeurs_Entrées,Début_Solde,""), "")</f>
        <v>177685.32320104699</v>
      </c>
      <c r="G117" s="14">
        <f ca="1">IFERROR(IF(Prêt_Non_Payé*Valeurs_Entrées,Mensualité,""), "")</f>
        <v>1227.3262210603918</v>
      </c>
      <c r="H117" s="14">
        <f ca="1">IFERROR(IF(Prêt_Non_Payé*Valeurs_Entrées,Capital,""), "")</f>
        <v>635.0418103902291</v>
      </c>
      <c r="I117" s="14">
        <f ca="1">IFERROR(IF(Prêt_Non_Payé*Valeurs_Entrées,Intérêts,""), "")</f>
        <v>592.28441067016286</v>
      </c>
      <c r="J117" s="18">
        <f ca="1">IFERROR(IF(Prêt_Non_Payé*Valeurs_Entrées,Fin_Solde,""), "")</f>
        <v>177050.28139065672</v>
      </c>
    </row>
    <row r="118" spans="2:10" ht="17" customHeight="1">
      <c r="D118" s="16">
        <f ca="1">IFERROR(IF(Prêt_Non_Payé*Valeurs_Entrées,Numéro_Paiement,""), "")</f>
        <v>104</v>
      </c>
      <c r="E118" s="17">
        <f ca="1">IFERROR(IF(Prêt_Non_Payé*Valeurs_Entrées,Paiement_Date,""), "")</f>
        <v>48468</v>
      </c>
      <c r="F118" s="14">
        <f ca="1">IFERROR(IF(Prêt_Non_Payé*Valeurs_Entrées,Début_Solde,""), "")</f>
        <v>177050.28139065672</v>
      </c>
      <c r="G118" s="14">
        <f ca="1">IFERROR(IF(Prêt_Non_Payé*Valeurs_Entrées,Mensualité,""), "")</f>
        <v>1227.3262210603918</v>
      </c>
      <c r="H118" s="14">
        <f ca="1">IFERROR(IF(Prêt_Non_Payé*Valeurs_Entrées,Capital,""), "")</f>
        <v>637.15861642486323</v>
      </c>
      <c r="I118" s="14">
        <f ca="1">IFERROR(IF(Prêt_Non_Payé*Valeurs_Entrées,Intérêts,""), "")</f>
        <v>590.16760463552885</v>
      </c>
      <c r="J118" s="18">
        <f ca="1">IFERROR(IF(Prêt_Non_Payé*Valeurs_Entrées,Fin_Solde,""), "")</f>
        <v>176413.12277423189</v>
      </c>
    </row>
    <row r="119" spans="2:10" ht="17" customHeight="1">
      <c r="D119" s="16">
        <f ca="1">IFERROR(IF(Prêt_Non_Payé*Valeurs_Entrées,Numéro_Paiement,""), "")</f>
        <v>105</v>
      </c>
      <c r="E119" s="17">
        <f ca="1">IFERROR(IF(Prêt_Non_Payé*Valeurs_Entrées,Paiement_Date,""), "")</f>
        <v>48498</v>
      </c>
      <c r="F119" s="14">
        <f ca="1">IFERROR(IF(Prêt_Non_Payé*Valeurs_Entrées,Début_Solde,""), "")</f>
        <v>176413.12277423189</v>
      </c>
      <c r="G119" s="14">
        <f ca="1">IFERROR(IF(Prêt_Non_Payé*Valeurs_Entrées,Mensualité,""), "")</f>
        <v>1227.3262210603918</v>
      </c>
      <c r="H119" s="14">
        <f ca="1">IFERROR(IF(Prêt_Non_Payé*Valeurs_Entrées,Capital,""), "")</f>
        <v>639.28247847961268</v>
      </c>
      <c r="I119" s="14">
        <f ca="1">IFERROR(IF(Prêt_Non_Payé*Valeurs_Entrées,Intérêts,""), "")</f>
        <v>588.04374258077928</v>
      </c>
      <c r="J119" s="18">
        <f ca="1">IFERROR(IF(Prêt_Non_Payé*Valeurs_Entrées,Fin_Solde,""), "")</f>
        <v>175773.84029575231</v>
      </c>
    </row>
    <row r="120" spans="2:10" ht="17" customHeight="1">
      <c r="D120" s="16">
        <f ca="1">IFERROR(IF(Prêt_Non_Payé*Valeurs_Entrées,Numéro_Paiement,""), "")</f>
        <v>106</v>
      </c>
      <c r="E120" s="17">
        <f ca="1">IFERROR(IF(Prêt_Non_Payé*Valeurs_Entrées,Paiement_Date,""), "")</f>
        <v>48529</v>
      </c>
      <c r="F120" s="14">
        <f ca="1">IFERROR(IF(Prêt_Non_Payé*Valeurs_Entrées,Début_Solde,""), "")</f>
        <v>175773.84029575231</v>
      </c>
      <c r="G120" s="14">
        <f ca="1">IFERROR(IF(Prêt_Non_Payé*Valeurs_Entrées,Mensualité,""), "")</f>
        <v>1227.3262210603918</v>
      </c>
      <c r="H120" s="14">
        <f ca="1">IFERROR(IF(Prêt_Non_Payé*Valeurs_Entrées,Capital,""), "")</f>
        <v>641.41342007454466</v>
      </c>
      <c r="I120" s="14">
        <f ca="1">IFERROR(IF(Prêt_Non_Payé*Valeurs_Entrées,Intérêts,""), "")</f>
        <v>585.91280098584718</v>
      </c>
      <c r="J120" s="18">
        <f ca="1">IFERROR(IF(Prêt_Non_Payé*Valeurs_Entrées,Fin_Solde,""), "")</f>
        <v>175132.42687567769</v>
      </c>
    </row>
    <row r="121" spans="2:10" ht="17" customHeight="1">
      <c r="D121" s="16">
        <f ca="1">IFERROR(IF(Prêt_Non_Payé*Valeurs_Entrées,Numéro_Paiement,""), "")</f>
        <v>107</v>
      </c>
      <c r="E121" s="17">
        <f ca="1">IFERROR(IF(Prêt_Non_Payé*Valeurs_Entrées,Paiement_Date,""), "")</f>
        <v>48559</v>
      </c>
      <c r="F121" s="14">
        <f ca="1">IFERROR(IF(Prêt_Non_Payé*Valeurs_Entrées,Début_Solde,""), "")</f>
        <v>175132.42687567769</v>
      </c>
      <c r="G121" s="14">
        <f ca="1">IFERROR(IF(Prêt_Non_Payé*Valeurs_Entrées,Mensualité,""), "")</f>
        <v>1227.3262210603918</v>
      </c>
      <c r="H121" s="14">
        <f ca="1">IFERROR(IF(Prêt_Non_Payé*Valeurs_Entrées,Capital,""), "")</f>
        <v>643.55146480812652</v>
      </c>
      <c r="I121" s="14">
        <f ca="1">IFERROR(IF(Prêt_Non_Payé*Valeurs_Entrées,Intérêts,""), "")</f>
        <v>583.77475625226543</v>
      </c>
      <c r="J121" s="18">
        <f ca="1">IFERROR(IF(Prêt_Non_Payé*Valeurs_Entrées,Fin_Solde,""), "")</f>
        <v>174488.87541086951</v>
      </c>
    </row>
    <row r="122" spans="2:10" ht="17" customHeight="1">
      <c r="B122" s="28">
        <v>9</v>
      </c>
      <c r="D122" s="19">
        <f ca="1">IFERROR(IF(Prêt_Non_Payé*Valeurs_Entrées,Numéro_Paiement,""), "")</f>
        <v>108</v>
      </c>
      <c r="E122" s="27">
        <f ca="1">IFERROR(IF(Prêt_Non_Payé*Valeurs_Entrées,Paiement_Date,""), "")</f>
        <v>48590</v>
      </c>
      <c r="F122" s="18">
        <f ca="1">IFERROR(IF(Prêt_Non_Payé*Valeurs_Entrées,Début_Solde,""), "")</f>
        <v>174488.87541086951</v>
      </c>
      <c r="G122" s="18">
        <f ca="1">IFERROR(IF(Prêt_Non_Payé*Valeurs_Entrées,Mensualité,""), "")</f>
        <v>1227.3262210603918</v>
      </c>
      <c r="H122" s="18">
        <f ca="1">IFERROR(IF(Prêt_Non_Payé*Valeurs_Entrées,Capital,""), "")</f>
        <v>645.69663635748691</v>
      </c>
      <c r="I122" s="18">
        <f ca="1">IFERROR(IF(Prêt_Non_Payé*Valeurs_Entrées,Intérêts,""), "")</f>
        <v>581.62958470290482</v>
      </c>
      <c r="J122" s="18">
        <f ca="1">IFERROR(IF(Prêt_Non_Payé*Valeurs_Entrées,Fin_Solde,""), "")</f>
        <v>173843.17877451202</v>
      </c>
    </row>
    <row r="123" spans="2:10" ht="17" customHeight="1">
      <c r="D123" s="16">
        <f ca="1">IFERROR(IF(Prêt_Non_Payé*Valeurs_Entrées,Numéro_Paiement,""), "")</f>
        <v>109</v>
      </c>
      <c r="E123" s="17">
        <f ca="1">IFERROR(IF(Prêt_Non_Payé*Valeurs_Entrées,Paiement_Date,""), "")</f>
        <v>48621</v>
      </c>
      <c r="F123" s="14">
        <f ca="1">IFERROR(IF(Prêt_Non_Payé*Valeurs_Entrées,Début_Solde,""), "")</f>
        <v>173843.17877451202</v>
      </c>
      <c r="G123" s="14">
        <f ca="1">IFERROR(IF(Prêt_Non_Payé*Valeurs_Entrées,Mensualité,""), "")</f>
        <v>1227.3262210603918</v>
      </c>
      <c r="H123" s="14">
        <f ca="1">IFERROR(IF(Prêt_Non_Payé*Valeurs_Entrées,Capital,""), "")</f>
        <v>647.84895847867847</v>
      </c>
      <c r="I123" s="14">
        <f ca="1">IFERROR(IF(Prêt_Non_Payé*Valeurs_Entrées,Intérêts,""), "")</f>
        <v>579.47726258171326</v>
      </c>
      <c r="J123" s="18">
        <f ca="1">IFERROR(IF(Prêt_Non_Payé*Valeurs_Entrées,Fin_Solde,""), "")</f>
        <v>173195.32981603334</v>
      </c>
    </row>
    <row r="124" spans="2:10" ht="17" customHeight="1">
      <c r="D124" s="16">
        <f ca="1">IFERROR(IF(Prêt_Non_Payé*Valeurs_Entrées,Numéro_Paiement,""), "")</f>
        <v>110</v>
      </c>
      <c r="E124" s="17">
        <f ca="1">IFERROR(IF(Prêt_Non_Payé*Valeurs_Entrées,Paiement_Date,""), "")</f>
        <v>48649</v>
      </c>
      <c r="F124" s="14">
        <f ca="1">IFERROR(IF(Prêt_Non_Payé*Valeurs_Entrées,Début_Solde,""), "")</f>
        <v>173195.32981603334</v>
      </c>
      <c r="G124" s="14">
        <f ca="1">IFERROR(IF(Prêt_Non_Payé*Valeurs_Entrées,Mensualité,""), "")</f>
        <v>1227.3262210603918</v>
      </c>
      <c r="H124" s="14">
        <f ca="1">IFERROR(IF(Prêt_Non_Payé*Valeurs_Entrées,Capital,""), "")</f>
        <v>650.00845500694084</v>
      </c>
      <c r="I124" s="14">
        <f ca="1">IFERROR(IF(Prêt_Non_Payé*Valeurs_Entrées,Intérêts,""), "")</f>
        <v>577.31776605345112</v>
      </c>
      <c r="J124" s="18">
        <f ca="1">IFERROR(IF(Prêt_Non_Payé*Valeurs_Entrées,Fin_Solde,""), "")</f>
        <v>172545.32136102638</v>
      </c>
    </row>
    <row r="125" spans="2:10" ht="17" customHeight="1">
      <c r="D125" s="16">
        <f ca="1">IFERROR(IF(Prêt_Non_Payé*Valeurs_Entrées,Numéro_Paiement,""), "")</f>
        <v>111</v>
      </c>
      <c r="E125" s="17">
        <f ca="1">IFERROR(IF(Prêt_Non_Payé*Valeurs_Entrées,Paiement_Date,""), "")</f>
        <v>48680</v>
      </c>
      <c r="F125" s="14">
        <f ca="1">IFERROR(IF(Prêt_Non_Payé*Valeurs_Entrées,Début_Solde,""), "")</f>
        <v>172545.32136102638</v>
      </c>
      <c r="G125" s="14">
        <f ca="1">IFERROR(IF(Prêt_Non_Payé*Valeurs_Entrées,Mensualité,""), "")</f>
        <v>1227.3262210603918</v>
      </c>
      <c r="H125" s="14">
        <f ca="1">IFERROR(IF(Prêt_Non_Payé*Valeurs_Entrées,Capital,""), "")</f>
        <v>652.17514985696403</v>
      </c>
      <c r="I125" s="14">
        <f ca="1">IFERROR(IF(Prêt_Non_Payé*Valeurs_Entrées,Intérêts,""), "")</f>
        <v>575.15107120342793</v>
      </c>
      <c r="J125" s="18">
        <f ca="1">IFERROR(IF(Prêt_Non_Payé*Valeurs_Entrées,Fin_Solde,""), "")</f>
        <v>171893.14621116931</v>
      </c>
    </row>
    <row r="126" spans="2:10" ht="17" customHeight="1">
      <c r="D126" s="16">
        <f ca="1">IFERROR(IF(Prêt_Non_Payé*Valeurs_Entrées,Numéro_Paiement,""), "")</f>
        <v>112</v>
      </c>
      <c r="E126" s="17">
        <f ca="1">IFERROR(IF(Prêt_Non_Payé*Valeurs_Entrées,Paiement_Date,""), "")</f>
        <v>48710</v>
      </c>
      <c r="F126" s="14">
        <f ca="1">IFERROR(IF(Prêt_Non_Payé*Valeurs_Entrées,Début_Solde,""), "")</f>
        <v>171893.14621116931</v>
      </c>
      <c r="G126" s="14">
        <f ca="1">IFERROR(IF(Prêt_Non_Payé*Valeurs_Entrées,Mensualité,""), "")</f>
        <v>1227.3262210603918</v>
      </c>
      <c r="H126" s="14">
        <f ca="1">IFERROR(IF(Prêt_Non_Payé*Valeurs_Entrées,Capital,""), "")</f>
        <v>654.34906702315379</v>
      </c>
      <c r="I126" s="14">
        <f ca="1">IFERROR(IF(Prêt_Non_Payé*Valeurs_Entrées,Intérêts,""), "")</f>
        <v>572.97715403723794</v>
      </c>
      <c r="J126" s="18">
        <f ca="1">IFERROR(IF(Prêt_Non_Payé*Valeurs_Entrées,Fin_Solde,""), "")</f>
        <v>171238.7971441462</v>
      </c>
    </row>
    <row r="127" spans="2:10" ht="17" customHeight="1">
      <c r="D127" s="16">
        <f ca="1">IFERROR(IF(Prêt_Non_Payé*Valeurs_Entrées,Numéro_Paiement,""), "")</f>
        <v>113</v>
      </c>
      <c r="E127" s="17">
        <f ca="1">IFERROR(IF(Prêt_Non_Payé*Valeurs_Entrées,Paiement_Date,""), "")</f>
        <v>48741</v>
      </c>
      <c r="F127" s="14">
        <f ca="1">IFERROR(IF(Prêt_Non_Payé*Valeurs_Entrées,Début_Solde,""), "")</f>
        <v>171238.7971441462</v>
      </c>
      <c r="G127" s="14">
        <f ca="1">IFERROR(IF(Prêt_Non_Payé*Valeurs_Entrées,Mensualité,""), "")</f>
        <v>1227.3262210603918</v>
      </c>
      <c r="H127" s="14">
        <f ca="1">IFERROR(IF(Prêt_Non_Payé*Valeurs_Entrées,Capital,""), "")</f>
        <v>656.53023057989776</v>
      </c>
      <c r="I127" s="14">
        <f ca="1">IFERROR(IF(Prêt_Non_Payé*Valeurs_Entrées,Intérêts,""), "")</f>
        <v>570.7959904804942</v>
      </c>
      <c r="J127" s="18">
        <f ca="1">IFERROR(IF(Prêt_Non_Payé*Valeurs_Entrées,Fin_Solde,""), "")</f>
        <v>170582.26691356624</v>
      </c>
    </row>
    <row r="128" spans="2:10" ht="17" customHeight="1">
      <c r="D128" s="16">
        <f ca="1">IFERROR(IF(Prêt_Non_Payé*Valeurs_Entrées,Numéro_Paiement,""), "")</f>
        <v>114</v>
      </c>
      <c r="E128" s="17">
        <f ca="1">IFERROR(IF(Prêt_Non_Payé*Valeurs_Entrées,Paiement_Date,""), "")</f>
        <v>48771</v>
      </c>
      <c r="F128" s="14">
        <f ca="1">IFERROR(IF(Prêt_Non_Payé*Valeurs_Entrées,Début_Solde,""), "")</f>
        <v>170582.26691356624</v>
      </c>
      <c r="G128" s="14">
        <f ca="1">IFERROR(IF(Prêt_Non_Payé*Valeurs_Entrées,Mensualité,""), "")</f>
        <v>1227.3262210603918</v>
      </c>
      <c r="H128" s="14">
        <f ca="1">IFERROR(IF(Prêt_Non_Payé*Valeurs_Entrées,Capital,""), "")</f>
        <v>658.71866468183066</v>
      </c>
      <c r="I128" s="14">
        <f ca="1">IFERROR(IF(Prêt_Non_Payé*Valeurs_Entrées,Intérêts,""), "")</f>
        <v>568.60755637856118</v>
      </c>
      <c r="J128" s="18">
        <f ca="1">IFERROR(IF(Prêt_Non_Payé*Valeurs_Entrées,Fin_Solde,""), "")</f>
        <v>169923.54824888444</v>
      </c>
    </row>
    <row r="129" spans="2:10" ht="17" customHeight="1">
      <c r="D129" s="16">
        <f ca="1">IFERROR(IF(Prêt_Non_Payé*Valeurs_Entrées,Numéro_Paiement,""), "")</f>
        <v>115</v>
      </c>
      <c r="E129" s="17">
        <f ca="1">IFERROR(IF(Prêt_Non_Payé*Valeurs_Entrées,Paiement_Date,""), "")</f>
        <v>48802</v>
      </c>
      <c r="F129" s="14">
        <f ca="1">IFERROR(IF(Prêt_Non_Payé*Valeurs_Entrées,Début_Solde,""), "")</f>
        <v>169923.54824888444</v>
      </c>
      <c r="G129" s="14">
        <f ca="1">IFERROR(IF(Prêt_Non_Payé*Valeurs_Entrées,Mensualité,""), "")</f>
        <v>1227.3262210603918</v>
      </c>
      <c r="H129" s="14">
        <f ca="1">IFERROR(IF(Prêt_Non_Payé*Valeurs_Entrées,Capital,""), "")</f>
        <v>660.91439356410342</v>
      </c>
      <c r="I129" s="14">
        <f ca="1">IFERROR(IF(Prêt_Non_Payé*Valeurs_Entrées,Intérêts,""), "")</f>
        <v>566.41182749628842</v>
      </c>
      <c r="J129" s="18">
        <f ca="1">IFERROR(IF(Prêt_Non_Payé*Valeurs_Entrées,Fin_Solde,""), "")</f>
        <v>169262.63385532025</v>
      </c>
    </row>
    <row r="130" spans="2:10" ht="17" customHeight="1">
      <c r="D130" s="16">
        <f ca="1">IFERROR(IF(Prêt_Non_Payé*Valeurs_Entrées,Numéro_Paiement,""), "")</f>
        <v>116</v>
      </c>
      <c r="E130" s="17">
        <f ca="1">IFERROR(IF(Prêt_Non_Payé*Valeurs_Entrées,Paiement_Date,""), "")</f>
        <v>48833</v>
      </c>
      <c r="F130" s="14">
        <f ca="1">IFERROR(IF(Prêt_Non_Payé*Valeurs_Entrées,Début_Solde,""), "")</f>
        <v>169262.63385532025</v>
      </c>
      <c r="G130" s="14">
        <f ca="1">IFERROR(IF(Prêt_Non_Payé*Valeurs_Entrées,Mensualité,""), "")</f>
        <v>1227.3262210603918</v>
      </c>
      <c r="H130" s="14">
        <f ca="1">IFERROR(IF(Prêt_Non_Payé*Valeurs_Entrées,Capital,""), "")</f>
        <v>663.11744154265045</v>
      </c>
      <c r="I130" s="14">
        <f ca="1">IFERROR(IF(Prêt_Non_Payé*Valeurs_Entrées,Intérêts,""), "")</f>
        <v>564.2087795177415</v>
      </c>
      <c r="J130" s="18">
        <f ca="1">IFERROR(IF(Prêt_Non_Payé*Valeurs_Entrées,Fin_Solde,""), "")</f>
        <v>168599.5164137776</v>
      </c>
    </row>
    <row r="131" spans="2:10" ht="17" customHeight="1">
      <c r="D131" s="16">
        <f ca="1">IFERROR(IF(Prêt_Non_Payé*Valeurs_Entrées,Numéro_Paiement,""), "")</f>
        <v>117</v>
      </c>
      <c r="E131" s="17">
        <f ca="1">IFERROR(IF(Prêt_Non_Payé*Valeurs_Entrées,Paiement_Date,""), "")</f>
        <v>48863</v>
      </c>
      <c r="F131" s="14">
        <f ca="1">IFERROR(IF(Prêt_Non_Payé*Valeurs_Entrées,Début_Solde,""), "")</f>
        <v>168599.5164137776</v>
      </c>
      <c r="G131" s="14">
        <f ca="1">IFERROR(IF(Prêt_Non_Payé*Valeurs_Entrées,Mensualité,""), "")</f>
        <v>1227.3262210603918</v>
      </c>
      <c r="H131" s="14">
        <f ca="1">IFERROR(IF(Prêt_Non_Payé*Valeurs_Entrées,Capital,""), "")</f>
        <v>665.32783301445932</v>
      </c>
      <c r="I131" s="14">
        <f ca="1">IFERROR(IF(Prêt_Non_Payé*Valeurs_Entrées,Intérêts,""), "")</f>
        <v>561.99838804593253</v>
      </c>
      <c r="J131" s="18">
        <f ca="1">IFERROR(IF(Prêt_Non_Payé*Valeurs_Entrées,Fin_Solde,""), "")</f>
        <v>167934.18858076315</v>
      </c>
    </row>
    <row r="132" spans="2:10" ht="17" customHeight="1">
      <c r="D132" s="16">
        <f ca="1">IFERROR(IF(Prêt_Non_Payé*Valeurs_Entrées,Numéro_Paiement,""), "")</f>
        <v>118</v>
      </c>
      <c r="E132" s="17">
        <f ca="1">IFERROR(IF(Prêt_Non_Payé*Valeurs_Entrées,Paiement_Date,""), "")</f>
        <v>48894</v>
      </c>
      <c r="F132" s="14">
        <f ca="1">IFERROR(IF(Prêt_Non_Payé*Valeurs_Entrées,Début_Solde,""), "")</f>
        <v>167934.18858076315</v>
      </c>
      <c r="G132" s="14">
        <f ca="1">IFERROR(IF(Prêt_Non_Payé*Valeurs_Entrées,Mensualité,""), "")</f>
        <v>1227.3262210603918</v>
      </c>
      <c r="H132" s="14">
        <f ca="1">IFERROR(IF(Prêt_Non_Payé*Valeurs_Entrées,Capital,""), "")</f>
        <v>667.54559245784083</v>
      </c>
      <c r="I132" s="14">
        <f ca="1">IFERROR(IF(Prêt_Non_Payé*Valeurs_Entrées,Intérêts,""), "")</f>
        <v>559.78062860255091</v>
      </c>
      <c r="J132" s="18">
        <f ca="1">IFERROR(IF(Prêt_Non_Payé*Valeurs_Entrées,Fin_Solde,""), "")</f>
        <v>167266.64298830522</v>
      </c>
    </row>
    <row r="133" spans="2:10" ht="17" customHeight="1">
      <c r="D133" s="16">
        <f ca="1">IFERROR(IF(Prêt_Non_Payé*Valeurs_Entrées,Numéro_Paiement,""), "")</f>
        <v>119</v>
      </c>
      <c r="E133" s="17">
        <f ca="1">IFERROR(IF(Prêt_Non_Payé*Valeurs_Entrées,Paiement_Date,""), "")</f>
        <v>48924</v>
      </c>
      <c r="F133" s="14">
        <f ca="1">IFERROR(IF(Prêt_Non_Payé*Valeurs_Entrées,Début_Solde,""), "")</f>
        <v>167266.64298830522</v>
      </c>
      <c r="G133" s="14">
        <f ca="1">IFERROR(IF(Prêt_Non_Payé*Valeurs_Entrées,Mensualité,""), "")</f>
        <v>1227.3262210603918</v>
      </c>
      <c r="H133" s="14">
        <f ca="1">IFERROR(IF(Prêt_Non_Payé*Valeurs_Entrées,Capital,""), "")</f>
        <v>669.77074443270044</v>
      </c>
      <c r="I133" s="14">
        <f ca="1">IFERROR(IF(Prêt_Non_Payé*Valeurs_Entrées,Intérêts,""), "")</f>
        <v>557.55547662769152</v>
      </c>
      <c r="J133" s="18">
        <f ca="1">IFERROR(IF(Prêt_Non_Payé*Valeurs_Entrées,Fin_Solde,""), "")</f>
        <v>166596.87224387247</v>
      </c>
    </row>
    <row r="134" spans="2:10" ht="17" customHeight="1">
      <c r="B134" s="28">
        <v>10</v>
      </c>
      <c r="D134" s="19">
        <f ca="1">IFERROR(IF(Prêt_Non_Payé*Valeurs_Entrées,Numéro_Paiement,""), "")</f>
        <v>120</v>
      </c>
      <c r="E134" s="27">
        <f ca="1">IFERROR(IF(Prêt_Non_Payé*Valeurs_Entrées,Paiement_Date,""), "")</f>
        <v>48955</v>
      </c>
      <c r="F134" s="18">
        <f ca="1">IFERROR(IF(Prêt_Non_Payé*Valeurs_Entrées,Début_Solde,""), "")</f>
        <v>166596.87224387247</v>
      </c>
      <c r="G134" s="18">
        <f ca="1">IFERROR(IF(Prêt_Non_Payé*Valeurs_Entrées,Mensualité,""), "")</f>
        <v>1227.3262210603918</v>
      </c>
      <c r="H134" s="18">
        <f ca="1">IFERROR(IF(Prêt_Non_Payé*Valeurs_Entrées,Capital,""), "")</f>
        <v>672.00331358080928</v>
      </c>
      <c r="I134" s="18">
        <f ca="1">IFERROR(IF(Prêt_Non_Payé*Valeurs_Entrées,Intérêts,""), "")</f>
        <v>555.32290747958257</v>
      </c>
      <c r="J134" s="18">
        <f ca="1">IFERROR(IF(Prêt_Non_Payé*Valeurs_Entrées,Fin_Solde,""), "")</f>
        <v>165924.86893029173</v>
      </c>
    </row>
    <row r="135" spans="2:10" ht="17" customHeight="1">
      <c r="D135" s="16">
        <f ca="1">IFERROR(IF(Prêt_Non_Payé*Valeurs_Entrées,Numéro_Paiement,""), "")</f>
        <v>121</v>
      </c>
      <c r="E135" s="17">
        <f ca="1">IFERROR(IF(Prêt_Non_Payé*Valeurs_Entrées,Paiement_Date,""), "")</f>
        <v>48986</v>
      </c>
      <c r="F135" s="14">
        <f ca="1">IFERROR(IF(Prêt_Non_Payé*Valeurs_Entrées,Début_Solde,""), "")</f>
        <v>165924.86893029173</v>
      </c>
      <c r="G135" s="14">
        <f ca="1">IFERROR(IF(Prêt_Non_Payé*Valeurs_Entrées,Mensualité,""), "")</f>
        <v>1227.3262210603918</v>
      </c>
      <c r="H135" s="14">
        <f ca="1">IFERROR(IF(Prêt_Non_Payé*Valeurs_Entrées,Capital,""), "")</f>
        <v>674.24332462607879</v>
      </c>
      <c r="I135" s="14">
        <f ca="1">IFERROR(IF(Prêt_Non_Payé*Valeurs_Entrées,Intérêts,""), "")</f>
        <v>553.08289643431328</v>
      </c>
      <c r="J135" s="18">
        <f ca="1">IFERROR(IF(Prêt_Non_Payé*Valeurs_Entrées,Fin_Solde,""), "")</f>
        <v>165250.62560566558</v>
      </c>
    </row>
    <row r="136" spans="2:10" ht="17" customHeight="1">
      <c r="D136" s="16">
        <f ca="1">IFERROR(IF(Prêt_Non_Payé*Valeurs_Entrées,Numéro_Paiement,""), "")</f>
        <v>122</v>
      </c>
      <c r="E136" s="17">
        <f ca="1">IFERROR(IF(Prêt_Non_Payé*Valeurs_Entrées,Paiement_Date,""), "")</f>
        <v>49014</v>
      </c>
      <c r="F136" s="14">
        <f ca="1">IFERROR(IF(Prêt_Non_Payé*Valeurs_Entrées,Début_Solde,""), "")</f>
        <v>165250.62560566558</v>
      </c>
      <c r="G136" s="14">
        <f ca="1">IFERROR(IF(Prêt_Non_Payé*Valeurs_Entrées,Mensualité,""), "")</f>
        <v>1227.3262210603918</v>
      </c>
      <c r="H136" s="14">
        <f ca="1">IFERROR(IF(Prêt_Non_Payé*Valeurs_Entrées,Capital,""), "")</f>
        <v>676.49080237483236</v>
      </c>
      <c r="I136" s="14">
        <f ca="1">IFERROR(IF(Prêt_Non_Payé*Valeurs_Entrées,Intérêts,""), "")</f>
        <v>550.8354186855596</v>
      </c>
      <c r="J136" s="18">
        <f ca="1">IFERROR(IF(Prêt_Non_Payé*Valeurs_Entrées,Fin_Solde,""), "")</f>
        <v>164574.13480329074</v>
      </c>
    </row>
    <row r="137" spans="2:10" ht="17" customHeight="1">
      <c r="D137" s="16">
        <f ca="1">IFERROR(IF(Prêt_Non_Payé*Valeurs_Entrées,Numéro_Paiement,""), "")</f>
        <v>123</v>
      </c>
      <c r="E137" s="17">
        <f ca="1">IFERROR(IF(Prêt_Non_Payé*Valeurs_Entrées,Paiement_Date,""), "")</f>
        <v>49045</v>
      </c>
      <c r="F137" s="14">
        <f ca="1">IFERROR(IF(Prêt_Non_Payé*Valeurs_Entrées,Début_Solde,""), "")</f>
        <v>164574.13480329074</v>
      </c>
      <c r="G137" s="14">
        <f ca="1">IFERROR(IF(Prêt_Non_Payé*Valeurs_Entrées,Mensualité,""), "")</f>
        <v>1227.3262210603918</v>
      </c>
      <c r="H137" s="14">
        <f ca="1">IFERROR(IF(Prêt_Non_Payé*Valeurs_Entrées,Capital,""), "")</f>
        <v>678.74577171608166</v>
      </c>
      <c r="I137" s="14">
        <f ca="1">IFERROR(IF(Prêt_Non_Payé*Valeurs_Entrées,Intérêts,""), "")</f>
        <v>548.58044934431007</v>
      </c>
      <c r="J137" s="18">
        <f ca="1">IFERROR(IF(Prêt_Non_Payé*Valeurs_Entrées,Fin_Solde,""), "")</f>
        <v>163895.38903157465</v>
      </c>
    </row>
    <row r="138" spans="2:10" ht="17" customHeight="1">
      <c r="D138" s="16">
        <f ca="1">IFERROR(IF(Prêt_Non_Payé*Valeurs_Entrées,Numéro_Paiement,""), "")</f>
        <v>124</v>
      </c>
      <c r="E138" s="17">
        <f ca="1">IFERROR(IF(Prêt_Non_Payé*Valeurs_Entrées,Paiement_Date,""), "")</f>
        <v>49075</v>
      </c>
      <c r="F138" s="14">
        <f ca="1">IFERROR(IF(Prêt_Non_Payé*Valeurs_Entrées,Début_Solde,""), "")</f>
        <v>163895.38903157465</v>
      </c>
      <c r="G138" s="14">
        <f ca="1">IFERROR(IF(Prêt_Non_Payé*Valeurs_Entrées,Mensualité,""), "")</f>
        <v>1227.3262210603918</v>
      </c>
      <c r="H138" s="14">
        <f ca="1">IFERROR(IF(Prêt_Non_Payé*Valeurs_Entrées,Capital,""), "")</f>
        <v>681.00825762180193</v>
      </c>
      <c r="I138" s="14">
        <f ca="1">IFERROR(IF(Prêt_Non_Payé*Valeurs_Entrées,Intérêts,""), "")</f>
        <v>546.31796343858991</v>
      </c>
      <c r="J138" s="18">
        <f ca="1">IFERROR(IF(Prêt_Non_Payé*Valeurs_Entrées,Fin_Solde,""), "")</f>
        <v>163214.38077395281</v>
      </c>
    </row>
    <row r="139" spans="2:10" ht="17" customHeight="1">
      <c r="D139" s="16">
        <f ca="1">IFERROR(IF(Prêt_Non_Payé*Valeurs_Entrées,Numéro_Paiement,""), "")</f>
        <v>125</v>
      </c>
      <c r="E139" s="17">
        <f ca="1">IFERROR(IF(Prêt_Non_Payé*Valeurs_Entrées,Paiement_Date,""), "")</f>
        <v>49106</v>
      </c>
      <c r="F139" s="14">
        <f ca="1">IFERROR(IF(Prêt_Non_Payé*Valeurs_Entrées,Début_Solde,""), "")</f>
        <v>163214.38077395281</v>
      </c>
      <c r="G139" s="14">
        <f ca="1">IFERROR(IF(Prêt_Non_Payé*Valeurs_Entrées,Mensualité,""), "")</f>
        <v>1227.3262210603918</v>
      </c>
      <c r="H139" s="14">
        <f ca="1">IFERROR(IF(Prêt_Non_Payé*Valeurs_Entrées,Capital,""), "")</f>
        <v>683.27828514720795</v>
      </c>
      <c r="I139" s="14">
        <f ca="1">IFERROR(IF(Prêt_Non_Payé*Valeurs_Entrées,Intérêts,""), "")</f>
        <v>544.04793591318378</v>
      </c>
      <c r="J139" s="18">
        <f ca="1">IFERROR(IF(Prêt_Non_Payé*Valeurs_Entrées,Fin_Solde,""), "")</f>
        <v>162531.10248880566</v>
      </c>
    </row>
    <row r="140" spans="2:10" ht="17" customHeight="1">
      <c r="D140" s="16">
        <f ca="1">IFERROR(IF(Prêt_Non_Payé*Valeurs_Entrées,Numéro_Paiement,""), "")</f>
        <v>126</v>
      </c>
      <c r="E140" s="17">
        <f ca="1">IFERROR(IF(Prêt_Non_Payé*Valeurs_Entrées,Paiement_Date,""), "")</f>
        <v>49136</v>
      </c>
      <c r="F140" s="14">
        <f ca="1">IFERROR(IF(Prêt_Non_Payé*Valeurs_Entrées,Début_Solde,""), "")</f>
        <v>162531.10248880566</v>
      </c>
      <c r="G140" s="14">
        <f ca="1">IFERROR(IF(Prêt_Non_Payé*Valeurs_Entrées,Mensualité,""), "")</f>
        <v>1227.3262210603918</v>
      </c>
      <c r="H140" s="14">
        <f ca="1">IFERROR(IF(Prêt_Non_Payé*Valeurs_Entrées,Capital,""), "")</f>
        <v>685.55587943103205</v>
      </c>
      <c r="I140" s="14">
        <f ca="1">IFERROR(IF(Prêt_Non_Payé*Valeurs_Entrées,Intérêts,""), "")</f>
        <v>541.7703416293599</v>
      </c>
      <c r="J140" s="18">
        <f ca="1">IFERROR(IF(Prêt_Non_Payé*Valeurs_Entrées,Fin_Solde,""), "")</f>
        <v>161845.54660937449</v>
      </c>
    </row>
    <row r="141" spans="2:10" ht="17" customHeight="1">
      <c r="D141" s="16">
        <f ca="1">IFERROR(IF(Prêt_Non_Payé*Valeurs_Entrées,Numéro_Paiement,""), "")</f>
        <v>127</v>
      </c>
      <c r="E141" s="17">
        <f ca="1">IFERROR(IF(Prêt_Non_Payé*Valeurs_Entrées,Paiement_Date,""), "")</f>
        <v>49167</v>
      </c>
      <c r="F141" s="14">
        <f ca="1">IFERROR(IF(Prêt_Non_Payé*Valeurs_Entrées,Début_Solde,""), "")</f>
        <v>161845.54660937449</v>
      </c>
      <c r="G141" s="14">
        <f ca="1">IFERROR(IF(Prêt_Non_Payé*Valeurs_Entrées,Mensualité,""), "")</f>
        <v>1227.3262210603918</v>
      </c>
      <c r="H141" s="14">
        <f ca="1">IFERROR(IF(Prêt_Non_Payé*Valeurs_Entrées,Capital,""), "")</f>
        <v>687.84106569580229</v>
      </c>
      <c r="I141" s="14">
        <f ca="1">IFERROR(IF(Prêt_Non_Payé*Valeurs_Entrées,Intérêts,""), "")</f>
        <v>539.48515536458967</v>
      </c>
      <c r="J141" s="18">
        <f ca="1">IFERROR(IF(Prêt_Non_Payé*Valeurs_Entrées,Fin_Solde,""), "")</f>
        <v>161157.70554367872</v>
      </c>
    </row>
    <row r="142" spans="2:10" ht="17" customHeight="1">
      <c r="D142" s="16">
        <f ca="1">IFERROR(IF(Prêt_Non_Payé*Valeurs_Entrées,Numéro_Paiement,""), "")</f>
        <v>128</v>
      </c>
      <c r="E142" s="17">
        <f ca="1">IFERROR(IF(Prêt_Non_Payé*Valeurs_Entrées,Paiement_Date,""), "")</f>
        <v>49198</v>
      </c>
      <c r="F142" s="14">
        <f ca="1">IFERROR(IF(Prêt_Non_Payé*Valeurs_Entrées,Début_Solde,""), "")</f>
        <v>161157.70554367872</v>
      </c>
      <c r="G142" s="14">
        <f ca="1">IFERROR(IF(Prêt_Non_Payé*Valeurs_Entrées,Mensualité,""), "")</f>
        <v>1227.3262210603918</v>
      </c>
      <c r="H142" s="14">
        <f ca="1">IFERROR(IF(Prêt_Non_Payé*Valeurs_Entrées,Capital,""), "")</f>
        <v>690.13386924812153</v>
      </c>
      <c r="I142" s="14">
        <f ca="1">IFERROR(IF(Prêt_Non_Payé*Valeurs_Entrées,Intérêts,""), "")</f>
        <v>537.19235181227043</v>
      </c>
      <c r="J142" s="18">
        <f ca="1">IFERROR(IF(Prêt_Non_Payé*Valeurs_Entrées,Fin_Solde,""), "")</f>
        <v>160467.57167443051</v>
      </c>
    </row>
    <row r="143" spans="2:10" ht="17" customHeight="1">
      <c r="D143" s="16">
        <f ca="1">IFERROR(IF(Prêt_Non_Payé*Valeurs_Entrées,Numéro_Paiement,""), "")</f>
        <v>129</v>
      </c>
      <c r="E143" s="17">
        <f ca="1">IFERROR(IF(Prêt_Non_Payé*Valeurs_Entrées,Paiement_Date,""), "")</f>
        <v>49228</v>
      </c>
      <c r="F143" s="14">
        <f ca="1">IFERROR(IF(Prêt_Non_Payé*Valeurs_Entrées,Début_Solde,""), "")</f>
        <v>160467.57167443051</v>
      </c>
      <c r="G143" s="14">
        <f ca="1">IFERROR(IF(Prêt_Non_Payé*Valeurs_Entrées,Mensualité,""), "")</f>
        <v>1227.3262210603918</v>
      </c>
      <c r="H143" s="14">
        <f ca="1">IFERROR(IF(Prêt_Non_Payé*Valeurs_Entrées,Capital,""), "")</f>
        <v>692.43431547894841</v>
      </c>
      <c r="I143" s="14">
        <f ca="1">IFERROR(IF(Prêt_Non_Payé*Valeurs_Entrées,Intérêts,""), "")</f>
        <v>534.89190558144321</v>
      </c>
      <c r="J143" s="18">
        <f ca="1">IFERROR(IF(Prêt_Non_Payé*Valeurs_Entrées,Fin_Solde,""), "")</f>
        <v>159775.13735895153</v>
      </c>
    </row>
    <row r="144" spans="2:10" ht="17" customHeight="1">
      <c r="D144" s="16">
        <f ca="1">IFERROR(IF(Prêt_Non_Payé*Valeurs_Entrées,Numéro_Paiement,""), "")</f>
        <v>130</v>
      </c>
      <c r="E144" s="17">
        <f ca="1">IFERROR(IF(Prêt_Non_Payé*Valeurs_Entrées,Paiement_Date,""), "")</f>
        <v>49259</v>
      </c>
      <c r="F144" s="14">
        <f ca="1">IFERROR(IF(Prêt_Non_Payé*Valeurs_Entrées,Début_Solde,""), "")</f>
        <v>159775.13735895153</v>
      </c>
      <c r="G144" s="14">
        <f ca="1">IFERROR(IF(Prêt_Non_Payé*Valeurs_Entrées,Mensualité,""), "")</f>
        <v>1227.3262210603918</v>
      </c>
      <c r="H144" s="14">
        <f ca="1">IFERROR(IF(Prêt_Non_Payé*Valeurs_Entrées,Capital,""), "")</f>
        <v>694.74242986387844</v>
      </c>
      <c r="I144" s="14">
        <f ca="1">IFERROR(IF(Prêt_Non_Payé*Valeurs_Entrées,Intérêts,""), "")</f>
        <v>532.58379119651352</v>
      </c>
      <c r="J144" s="18">
        <f ca="1">IFERROR(IF(Prêt_Non_Payé*Valeurs_Entrées,Fin_Solde,""), "")</f>
        <v>159080.3949290876</v>
      </c>
    </row>
    <row r="145" spans="2:10" ht="17" customHeight="1">
      <c r="D145" s="16">
        <f ca="1">IFERROR(IF(Prêt_Non_Payé*Valeurs_Entrées,Numéro_Paiement,""), "")</f>
        <v>131</v>
      </c>
      <c r="E145" s="17">
        <f ca="1">IFERROR(IF(Prêt_Non_Payé*Valeurs_Entrées,Paiement_Date,""), "")</f>
        <v>49289</v>
      </c>
      <c r="F145" s="14">
        <f ca="1">IFERROR(IF(Prêt_Non_Payé*Valeurs_Entrées,Début_Solde,""), "")</f>
        <v>159080.3949290876</v>
      </c>
      <c r="G145" s="14">
        <f ca="1">IFERROR(IF(Prêt_Non_Payé*Valeurs_Entrées,Mensualité,""), "")</f>
        <v>1227.3262210603918</v>
      </c>
      <c r="H145" s="14">
        <f ca="1">IFERROR(IF(Prêt_Non_Payé*Valeurs_Entrées,Capital,""), "")</f>
        <v>697.05823796342463</v>
      </c>
      <c r="I145" s="14">
        <f ca="1">IFERROR(IF(Prêt_Non_Payé*Valeurs_Entrées,Intérêts,""), "")</f>
        <v>530.26798309696721</v>
      </c>
      <c r="J145" s="18">
        <f ca="1">IFERROR(IF(Prêt_Non_Payé*Valeurs_Entrées,Fin_Solde,""), "")</f>
        <v>158383.33669112416</v>
      </c>
    </row>
    <row r="146" spans="2:10" ht="17" customHeight="1">
      <c r="B146" s="28">
        <v>11</v>
      </c>
      <c r="D146" s="19">
        <f ca="1">IFERROR(IF(Prêt_Non_Payé*Valeurs_Entrées,Numéro_Paiement,""), "")</f>
        <v>132</v>
      </c>
      <c r="E146" s="27">
        <f ca="1">IFERROR(IF(Prêt_Non_Payé*Valeurs_Entrées,Paiement_Date,""), "")</f>
        <v>49320</v>
      </c>
      <c r="F146" s="18">
        <f ca="1">IFERROR(IF(Prêt_Non_Payé*Valeurs_Entrées,Début_Solde,""), "")</f>
        <v>158383.33669112416</v>
      </c>
      <c r="G146" s="18">
        <f ca="1">IFERROR(IF(Prêt_Non_Payé*Valeurs_Entrées,Mensualité,""), "")</f>
        <v>1227.3262210603918</v>
      </c>
      <c r="H146" s="18">
        <f ca="1">IFERROR(IF(Prêt_Non_Payé*Valeurs_Entrées,Capital,""), "")</f>
        <v>699.3817654233028</v>
      </c>
      <c r="I146" s="18">
        <f ca="1">IFERROR(IF(Prêt_Non_Payé*Valeurs_Entrées,Intérêts,""), "")</f>
        <v>527.94445563708916</v>
      </c>
      <c r="J146" s="18">
        <f ca="1">IFERROR(IF(Prêt_Non_Payé*Valeurs_Entrées,Fin_Solde,""), "")</f>
        <v>157683.95492570088</v>
      </c>
    </row>
    <row r="147" spans="2:10" ht="17" customHeight="1">
      <c r="D147" s="16">
        <f ca="1">IFERROR(IF(Prêt_Non_Payé*Valeurs_Entrées,Numéro_Paiement,""), "")</f>
        <v>133</v>
      </c>
      <c r="E147" s="17">
        <f ca="1">IFERROR(IF(Prêt_Non_Payé*Valeurs_Entrées,Paiement_Date,""), "")</f>
        <v>49351</v>
      </c>
      <c r="F147" s="14">
        <f ca="1">IFERROR(IF(Prêt_Non_Payé*Valeurs_Entrées,Début_Solde,""), "")</f>
        <v>157683.95492570088</v>
      </c>
      <c r="G147" s="14">
        <f ca="1">IFERROR(IF(Prêt_Non_Payé*Valeurs_Entrées,Mensualité,""), "")</f>
        <v>1227.3262210603918</v>
      </c>
      <c r="H147" s="14">
        <f ca="1">IFERROR(IF(Prêt_Non_Payé*Valeurs_Entrées,Capital,""), "")</f>
        <v>701.71303797471376</v>
      </c>
      <c r="I147" s="14">
        <f ca="1">IFERROR(IF(Prêt_Non_Payé*Valeurs_Entrées,Intérêts,""), "")</f>
        <v>525.6131830856782</v>
      </c>
      <c r="J147" s="18">
        <f ca="1">IFERROR(IF(Prêt_Non_Payé*Valeurs_Entrées,Fin_Solde,""), "")</f>
        <v>156982.24188772609</v>
      </c>
    </row>
    <row r="148" spans="2:10" ht="17" customHeight="1">
      <c r="D148" s="16">
        <f ca="1">IFERROR(IF(Prêt_Non_Payé*Valeurs_Entrées,Numéro_Paiement,""), "")</f>
        <v>134</v>
      </c>
      <c r="E148" s="17">
        <f ca="1">IFERROR(IF(Prêt_Non_Payé*Valeurs_Entrées,Paiement_Date,""), "")</f>
        <v>49379</v>
      </c>
      <c r="F148" s="14">
        <f ca="1">IFERROR(IF(Prêt_Non_Payé*Valeurs_Entrées,Début_Solde,""), "")</f>
        <v>156982.24188772609</v>
      </c>
      <c r="G148" s="14">
        <f ca="1">IFERROR(IF(Prêt_Non_Payé*Valeurs_Entrées,Mensualité,""), "")</f>
        <v>1227.3262210603918</v>
      </c>
      <c r="H148" s="14">
        <f ca="1">IFERROR(IF(Prêt_Non_Payé*Valeurs_Entrées,Capital,""), "")</f>
        <v>704.0520814346296</v>
      </c>
      <c r="I148" s="14">
        <f ca="1">IFERROR(IF(Prêt_Non_Payé*Valeurs_Entrées,Intérêts,""), "")</f>
        <v>523.27413962576247</v>
      </c>
      <c r="J148" s="18">
        <f ca="1">IFERROR(IF(Prêt_Non_Payé*Valeurs_Entrées,Fin_Solde,""), "")</f>
        <v>156278.18980629143</v>
      </c>
    </row>
    <row r="149" spans="2:10" ht="17" customHeight="1">
      <c r="D149" s="16">
        <f ca="1">IFERROR(IF(Prêt_Non_Payé*Valeurs_Entrées,Numéro_Paiement,""), "")</f>
        <v>135</v>
      </c>
      <c r="E149" s="17">
        <f ca="1">IFERROR(IF(Prêt_Non_Payé*Valeurs_Entrées,Paiement_Date,""), "")</f>
        <v>49410</v>
      </c>
      <c r="F149" s="14">
        <f ca="1">IFERROR(IF(Prêt_Non_Payé*Valeurs_Entrées,Début_Solde,""), "")</f>
        <v>156278.18980629143</v>
      </c>
      <c r="G149" s="14">
        <f ca="1">IFERROR(IF(Prêt_Non_Payé*Valeurs_Entrées,Mensualité,""), "")</f>
        <v>1227.3262210603918</v>
      </c>
      <c r="H149" s="14">
        <f ca="1">IFERROR(IF(Prêt_Non_Payé*Valeurs_Entrées,Capital,""), "")</f>
        <v>706.39892170607811</v>
      </c>
      <c r="I149" s="14">
        <f ca="1">IFERROR(IF(Prêt_Non_Payé*Valeurs_Entrées,Intérêts,""), "")</f>
        <v>520.92729935431373</v>
      </c>
      <c r="J149" s="18">
        <f ca="1">IFERROR(IF(Prêt_Non_Payé*Valeurs_Entrées,Fin_Solde,""), "")</f>
        <v>155571.79088458529</v>
      </c>
    </row>
    <row r="150" spans="2:10" ht="17" customHeight="1">
      <c r="D150" s="16">
        <f ca="1">IFERROR(IF(Prêt_Non_Payé*Valeurs_Entrées,Numéro_Paiement,""), "")</f>
        <v>136</v>
      </c>
      <c r="E150" s="17">
        <f ca="1">IFERROR(IF(Prêt_Non_Payé*Valeurs_Entrées,Paiement_Date,""), "")</f>
        <v>49440</v>
      </c>
      <c r="F150" s="14">
        <f ca="1">IFERROR(IF(Prêt_Non_Payé*Valeurs_Entrées,Début_Solde,""), "")</f>
        <v>155571.79088458529</v>
      </c>
      <c r="G150" s="14">
        <f ca="1">IFERROR(IF(Prêt_Non_Payé*Valeurs_Entrées,Mensualité,""), "")</f>
        <v>1227.3262210603918</v>
      </c>
      <c r="H150" s="14">
        <f ca="1">IFERROR(IF(Prêt_Non_Payé*Valeurs_Entrées,Capital,""), "")</f>
        <v>708.75358477843179</v>
      </c>
      <c r="I150" s="14">
        <f ca="1">IFERROR(IF(Prêt_Non_Payé*Valeurs_Entrées,Intérêts,""), "")</f>
        <v>518.57263628196017</v>
      </c>
      <c r="J150" s="18">
        <f ca="1">IFERROR(IF(Prêt_Non_Payé*Valeurs_Entrées,Fin_Solde,""), "")</f>
        <v>154863.03729980689</v>
      </c>
    </row>
    <row r="151" spans="2:10" ht="17" customHeight="1">
      <c r="D151" s="16">
        <f ca="1">IFERROR(IF(Prêt_Non_Payé*Valeurs_Entrées,Numéro_Paiement,""), "")</f>
        <v>137</v>
      </c>
      <c r="E151" s="17">
        <f ca="1">IFERROR(IF(Prêt_Non_Payé*Valeurs_Entrées,Paiement_Date,""), "")</f>
        <v>49471</v>
      </c>
      <c r="F151" s="14">
        <f ca="1">IFERROR(IF(Prêt_Non_Payé*Valeurs_Entrées,Début_Solde,""), "")</f>
        <v>154863.03729980689</v>
      </c>
      <c r="G151" s="14">
        <f ca="1">IFERROR(IF(Prêt_Non_Payé*Valeurs_Entrées,Mensualité,""), "")</f>
        <v>1227.3262210603918</v>
      </c>
      <c r="H151" s="14">
        <f ca="1">IFERROR(IF(Prêt_Non_Payé*Valeurs_Entrées,Capital,""), "")</f>
        <v>711.11609672769328</v>
      </c>
      <c r="I151" s="14">
        <f ca="1">IFERROR(IF(Prêt_Non_Payé*Valeurs_Entrées,Intérêts,""), "")</f>
        <v>516.21012433269857</v>
      </c>
      <c r="J151" s="18">
        <f ca="1">IFERROR(IF(Prêt_Non_Payé*Valeurs_Entrées,Fin_Solde,""), "")</f>
        <v>154151.9212030792</v>
      </c>
    </row>
    <row r="152" spans="2:10" ht="17" customHeight="1">
      <c r="D152" s="16">
        <f ca="1">IFERROR(IF(Prêt_Non_Payé*Valeurs_Entrées,Numéro_Paiement,""), "")</f>
        <v>138</v>
      </c>
      <c r="E152" s="17">
        <f ca="1">IFERROR(IF(Prêt_Non_Payé*Valeurs_Entrées,Paiement_Date,""), "")</f>
        <v>49501</v>
      </c>
      <c r="F152" s="14">
        <f ca="1">IFERROR(IF(Prêt_Non_Payé*Valeurs_Entrées,Début_Solde,""), "")</f>
        <v>154151.9212030792</v>
      </c>
      <c r="G152" s="14">
        <f ca="1">IFERROR(IF(Prêt_Non_Payé*Valeurs_Entrées,Mensualité,""), "")</f>
        <v>1227.3262210603918</v>
      </c>
      <c r="H152" s="14">
        <f ca="1">IFERROR(IF(Prêt_Non_Payé*Valeurs_Entrées,Capital,""), "")</f>
        <v>713.48648371678553</v>
      </c>
      <c r="I152" s="14">
        <f ca="1">IFERROR(IF(Prêt_Non_Payé*Valeurs_Entrées,Intérêts,""), "")</f>
        <v>513.83973734360632</v>
      </c>
      <c r="J152" s="18">
        <f ca="1">IFERROR(IF(Prêt_Non_Payé*Valeurs_Entrées,Fin_Solde,""), "")</f>
        <v>153438.43471936235</v>
      </c>
    </row>
    <row r="153" spans="2:10" ht="17" customHeight="1">
      <c r="D153" s="16">
        <f ca="1">IFERROR(IF(Prêt_Non_Payé*Valeurs_Entrées,Numéro_Paiement,""), "")</f>
        <v>139</v>
      </c>
      <c r="E153" s="17">
        <f ca="1">IFERROR(IF(Prêt_Non_Payé*Valeurs_Entrées,Paiement_Date,""), "")</f>
        <v>49532</v>
      </c>
      <c r="F153" s="14">
        <f ca="1">IFERROR(IF(Prêt_Non_Payé*Valeurs_Entrées,Début_Solde,""), "")</f>
        <v>153438.43471936235</v>
      </c>
      <c r="G153" s="14">
        <f ca="1">IFERROR(IF(Prêt_Non_Payé*Valeurs_Entrées,Mensualité,""), "")</f>
        <v>1227.3262210603918</v>
      </c>
      <c r="H153" s="14">
        <f ca="1">IFERROR(IF(Prêt_Non_Payé*Valeurs_Entrées,Capital,""), "")</f>
        <v>715.86477199584147</v>
      </c>
      <c r="I153" s="14">
        <f ca="1">IFERROR(IF(Prêt_Non_Payé*Valeurs_Entrées,Intérêts,""), "")</f>
        <v>511.46144906455032</v>
      </c>
      <c r="J153" s="18">
        <f ca="1">IFERROR(IF(Prêt_Non_Payé*Valeurs_Entrées,Fin_Solde,""), "")</f>
        <v>152722.56994736649</v>
      </c>
    </row>
    <row r="154" spans="2:10" ht="17" customHeight="1">
      <c r="D154" s="16">
        <f ca="1">IFERROR(IF(Prêt_Non_Payé*Valeurs_Entrées,Numéro_Paiement,""), "")</f>
        <v>140</v>
      </c>
      <c r="E154" s="17">
        <f ca="1">IFERROR(IF(Prêt_Non_Payé*Valeurs_Entrées,Paiement_Date,""), "")</f>
        <v>49563</v>
      </c>
      <c r="F154" s="14">
        <f ca="1">IFERROR(IF(Prêt_Non_Payé*Valeurs_Entrées,Début_Solde,""), "")</f>
        <v>152722.56994736649</v>
      </c>
      <c r="G154" s="14">
        <f ca="1">IFERROR(IF(Prêt_Non_Payé*Valeurs_Entrées,Mensualité,""), "")</f>
        <v>1227.3262210603918</v>
      </c>
      <c r="H154" s="14">
        <f ca="1">IFERROR(IF(Prêt_Non_Payé*Valeurs_Entrées,Capital,""), "")</f>
        <v>718.25098790249433</v>
      </c>
      <c r="I154" s="14">
        <f ca="1">IFERROR(IF(Prêt_Non_Payé*Valeurs_Entrées,Intérêts,""), "")</f>
        <v>509.07523315789763</v>
      </c>
      <c r="J154" s="18">
        <f ca="1">IFERROR(IF(Prêt_Non_Payé*Valeurs_Entrées,Fin_Solde,""), "")</f>
        <v>152004.31895946394</v>
      </c>
    </row>
    <row r="155" spans="2:10" ht="17" customHeight="1">
      <c r="D155" s="16">
        <f ca="1">IFERROR(IF(Prêt_Non_Payé*Valeurs_Entrées,Numéro_Paiement,""), "")</f>
        <v>141</v>
      </c>
      <c r="E155" s="17">
        <f ca="1">IFERROR(IF(Prêt_Non_Payé*Valeurs_Entrées,Paiement_Date,""), "")</f>
        <v>49593</v>
      </c>
      <c r="F155" s="14">
        <f ca="1">IFERROR(IF(Prêt_Non_Payé*Valeurs_Entrées,Début_Solde,""), "")</f>
        <v>152004.31895946394</v>
      </c>
      <c r="G155" s="14">
        <f ca="1">IFERROR(IF(Prêt_Non_Payé*Valeurs_Entrées,Mensualité,""), "")</f>
        <v>1227.3262210603918</v>
      </c>
      <c r="H155" s="14">
        <f ca="1">IFERROR(IF(Prêt_Non_Payé*Valeurs_Entrées,Capital,""), "")</f>
        <v>720.6451578621693</v>
      </c>
      <c r="I155" s="14">
        <f ca="1">IFERROR(IF(Prêt_Non_Payé*Valeurs_Entrées,Intérêts,""), "")</f>
        <v>506.6810631982226</v>
      </c>
      <c r="J155" s="18">
        <f ca="1">IFERROR(IF(Prêt_Non_Payé*Valeurs_Entrées,Fin_Solde,""), "")</f>
        <v>151283.67380160184</v>
      </c>
    </row>
    <row r="156" spans="2:10" ht="17" customHeight="1">
      <c r="D156" s="16">
        <f ca="1">IFERROR(IF(Prêt_Non_Payé*Valeurs_Entrées,Numéro_Paiement,""), "")</f>
        <v>142</v>
      </c>
      <c r="E156" s="17">
        <f ca="1">IFERROR(IF(Prêt_Non_Payé*Valeurs_Entrées,Paiement_Date,""), "")</f>
        <v>49624</v>
      </c>
      <c r="F156" s="14">
        <f ca="1">IFERROR(IF(Prêt_Non_Payé*Valeurs_Entrées,Début_Solde,""), "")</f>
        <v>151283.67380160184</v>
      </c>
      <c r="G156" s="14">
        <f ca="1">IFERROR(IF(Prêt_Non_Payé*Valeurs_Entrées,Mensualité,""), "")</f>
        <v>1227.3262210603918</v>
      </c>
      <c r="H156" s="14">
        <f ca="1">IFERROR(IF(Prêt_Non_Payé*Valeurs_Entrées,Capital,""), "")</f>
        <v>723.04730838837656</v>
      </c>
      <c r="I156" s="14">
        <f ca="1">IFERROR(IF(Prêt_Non_Payé*Valeurs_Entrées,Intérêts,""), "")</f>
        <v>504.27891267201539</v>
      </c>
      <c r="J156" s="18">
        <f ca="1">IFERROR(IF(Prêt_Non_Payé*Valeurs_Entrées,Fin_Solde,""), "")</f>
        <v>150560.62649321338</v>
      </c>
    </row>
    <row r="157" spans="2:10" ht="17" customHeight="1">
      <c r="D157" s="16">
        <f ca="1">IFERROR(IF(Prêt_Non_Payé*Valeurs_Entrées,Numéro_Paiement,""), "")</f>
        <v>143</v>
      </c>
      <c r="E157" s="17">
        <f ca="1">IFERROR(IF(Prêt_Non_Payé*Valeurs_Entrées,Paiement_Date,""), "")</f>
        <v>49654</v>
      </c>
      <c r="F157" s="14">
        <f ca="1">IFERROR(IF(Prêt_Non_Payé*Valeurs_Entrées,Début_Solde,""), "")</f>
        <v>150560.62649321338</v>
      </c>
      <c r="G157" s="14">
        <f ca="1">IFERROR(IF(Prêt_Non_Payé*Valeurs_Entrées,Mensualité,""), "")</f>
        <v>1227.3262210603918</v>
      </c>
      <c r="H157" s="14">
        <f ca="1">IFERROR(IF(Prêt_Non_Payé*Valeurs_Entrées,Capital,""), "")</f>
        <v>725.45746608300453</v>
      </c>
      <c r="I157" s="14">
        <f ca="1">IFERROR(IF(Prêt_Non_Payé*Valeurs_Entrées,Intérêts,""), "")</f>
        <v>501.86875497738754</v>
      </c>
      <c r="J157" s="18">
        <f ca="1">IFERROR(IF(Prêt_Non_Payé*Valeurs_Entrées,Fin_Solde,""), "")</f>
        <v>149835.16902713032</v>
      </c>
    </row>
    <row r="158" spans="2:10" ht="17" customHeight="1">
      <c r="B158" s="28">
        <v>12</v>
      </c>
      <c r="D158" s="19">
        <f ca="1">IFERROR(IF(Prêt_Non_Payé*Valeurs_Entrées,Numéro_Paiement,""), "")</f>
        <v>144</v>
      </c>
      <c r="E158" s="27">
        <f ca="1">IFERROR(IF(Prêt_Non_Payé*Valeurs_Entrées,Paiement_Date,""), "")</f>
        <v>49685</v>
      </c>
      <c r="F158" s="18">
        <f ca="1">IFERROR(IF(Prêt_Non_Payé*Valeurs_Entrées,Début_Solde,""), "")</f>
        <v>149835.16902713032</v>
      </c>
      <c r="G158" s="18">
        <f ca="1">IFERROR(IF(Prêt_Non_Payé*Valeurs_Entrées,Mensualité,""), "")</f>
        <v>1227.3262210603918</v>
      </c>
      <c r="H158" s="18">
        <f ca="1">IFERROR(IF(Prêt_Non_Payé*Valeurs_Entrées,Capital,""), "")</f>
        <v>727.87565763661451</v>
      </c>
      <c r="I158" s="18">
        <f ca="1">IFERROR(IF(Prêt_Non_Payé*Valeurs_Entrées,Intérêts,""), "")</f>
        <v>499.4505634237774</v>
      </c>
      <c r="J158" s="18">
        <f ca="1">IFERROR(IF(Prêt_Non_Payé*Valeurs_Entrées,Fin_Solde,""), "")</f>
        <v>149107.29336949371</v>
      </c>
    </row>
    <row r="159" spans="2:10" ht="17" customHeight="1">
      <c r="D159" s="16">
        <f ca="1">IFERROR(IF(Prêt_Non_Payé*Valeurs_Entrées,Numéro_Paiement,""), "")</f>
        <v>145</v>
      </c>
      <c r="E159" s="17">
        <f ca="1">IFERROR(IF(Prêt_Non_Payé*Valeurs_Entrées,Paiement_Date,""), "")</f>
        <v>49716</v>
      </c>
      <c r="F159" s="14">
        <f ca="1">IFERROR(IF(Prêt_Non_Payé*Valeurs_Entrées,Début_Solde,""), "")</f>
        <v>149107.29336949371</v>
      </c>
      <c r="G159" s="14">
        <f ca="1">IFERROR(IF(Prêt_Non_Payé*Valeurs_Entrées,Mensualité,""), "")</f>
        <v>1227.3262210603918</v>
      </c>
      <c r="H159" s="14">
        <f ca="1">IFERROR(IF(Prêt_Non_Payé*Valeurs_Entrées,Capital,""), "")</f>
        <v>730.30190982873648</v>
      </c>
      <c r="I159" s="14">
        <f ca="1">IFERROR(IF(Prêt_Non_Payé*Valeurs_Entrées,Intérêts,""), "")</f>
        <v>497.02431123165536</v>
      </c>
      <c r="J159" s="18">
        <f ca="1">IFERROR(IF(Prêt_Non_Payé*Valeurs_Entrées,Fin_Solde,""), "")</f>
        <v>148376.99145966489</v>
      </c>
    </row>
    <row r="160" spans="2:10" ht="17" customHeight="1">
      <c r="D160" s="16">
        <f ca="1">IFERROR(IF(Prêt_Non_Payé*Valeurs_Entrées,Numéro_Paiement,""), "")</f>
        <v>146</v>
      </c>
      <c r="E160" s="17">
        <f ca="1">IFERROR(IF(Prêt_Non_Payé*Valeurs_Entrées,Paiement_Date,""), "")</f>
        <v>49745</v>
      </c>
      <c r="F160" s="14">
        <f ca="1">IFERROR(IF(Prêt_Non_Payé*Valeurs_Entrées,Début_Solde,""), "")</f>
        <v>148376.99145966489</v>
      </c>
      <c r="G160" s="14">
        <f ca="1">IFERROR(IF(Prêt_Non_Payé*Valeurs_Entrées,Mensualité,""), "")</f>
        <v>1227.3262210603918</v>
      </c>
      <c r="H160" s="14">
        <f ca="1">IFERROR(IF(Prêt_Non_Payé*Valeurs_Entrées,Capital,""), "")</f>
        <v>732.73624952816567</v>
      </c>
      <c r="I160" s="14">
        <f ca="1">IFERROR(IF(Prêt_Non_Payé*Valeurs_Entrées,Intérêts,""), "")</f>
        <v>494.58997153222623</v>
      </c>
      <c r="J160" s="18">
        <f ca="1">IFERROR(IF(Prêt_Non_Payé*Valeurs_Entrées,Fin_Solde,""), "")</f>
        <v>147644.2552101367</v>
      </c>
    </row>
    <row r="161" spans="2:10" ht="17" customHeight="1">
      <c r="D161" s="16">
        <f ca="1">IFERROR(IF(Prêt_Non_Payé*Valeurs_Entrées,Numéro_Paiement,""), "")</f>
        <v>147</v>
      </c>
      <c r="E161" s="17">
        <f ca="1">IFERROR(IF(Prêt_Non_Payé*Valeurs_Entrées,Paiement_Date,""), "")</f>
        <v>49776</v>
      </c>
      <c r="F161" s="14">
        <f ca="1">IFERROR(IF(Prêt_Non_Payé*Valeurs_Entrées,Début_Solde,""), "")</f>
        <v>147644.2552101367</v>
      </c>
      <c r="G161" s="14">
        <f ca="1">IFERROR(IF(Prêt_Non_Payé*Valeurs_Entrées,Mensualité,""), "")</f>
        <v>1227.3262210603918</v>
      </c>
      <c r="H161" s="14">
        <f ca="1">IFERROR(IF(Prêt_Non_Payé*Valeurs_Entrées,Capital,""), "")</f>
        <v>735.17870369325954</v>
      </c>
      <c r="I161" s="14">
        <f ca="1">IFERROR(IF(Prêt_Non_Payé*Valeurs_Entrées,Intérêts,""), "")</f>
        <v>492.14751736713237</v>
      </c>
      <c r="J161" s="18">
        <f ca="1">IFERROR(IF(Prêt_Non_Payé*Valeurs_Entrées,Fin_Solde,""), "")</f>
        <v>146909.07650644338</v>
      </c>
    </row>
    <row r="162" spans="2:10" ht="17" customHeight="1">
      <c r="D162" s="16">
        <f ca="1">IFERROR(IF(Prêt_Non_Payé*Valeurs_Entrées,Numéro_Paiement,""), "")</f>
        <v>148</v>
      </c>
      <c r="E162" s="17">
        <f ca="1">IFERROR(IF(Prêt_Non_Payé*Valeurs_Entrées,Paiement_Date,""), "")</f>
        <v>49806</v>
      </c>
      <c r="F162" s="14">
        <f ca="1">IFERROR(IF(Prêt_Non_Payé*Valeurs_Entrées,Début_Solde,""), "")</f>
        <v>146909.07650644338</v>
      </c>
      <c r="G162" s="14">
        <f ca="1">IFERROR(IF(Prêt_Non_Payé*Valeurs_Entrées,Mensualité,""), "")</f>
        <v>1227.3262210603918</v>
      </c>
      <c r="H162" s="14">
        <f ca="1">IFERROR(IF(Prêt_Non_Payé*Valeurs_Entrées,Capital,""), "")</f>
        <v>737.62929937223703</v>
      </c>
      <c r="I162" s="14">
        <f ca="1">IFERROR(IF(Prêt_Non_Payé*Valeurs_Entrées,Intérêts,""), "")</f>
        <v>489.69692168815482</v>
      </c>
      <c r="J162" s="18">
        <f ca="1">IFERROR(IF(Prêt_Non_Payé*Valeurs_Entrées,Fin_Solde,""), "")</f>
        <v>146171.44720707115</v>
      </c>
    </row>
    <row r="163" spans="2:10" ht="17" customHeight="1">
      <c r="D163" s="16">
        <f ca="1">IFERROR(IF(Prêt_Non_Payé*Valeurs_Entrées,Numéro_Paiement,""), "")</f>
        <v>149</v>
      </c>
      <c r="E163" s="17">
        <f ca="1">IFERROR(IF(Prêt_Non_Payé*Valeurs_Entrées,Paiement_Date,""), "")</f>
        <v>49837</v>
      </c>
      <c r="F163" s="14">
        <f ca="1">IFERROR(IF(Prêt_Non_Payé*Valeurs_Entrées,Début_Solde,""), "")</f>
        <v>146171.44720707115</v>
      </c>
      <c r="G163" s="14">
        <f ca="1">IFERROR(IF(Prêt_Non_Payé*Valeurs_Entrées,Mensualité,""), "")</f>
        <v>1227.3262210603918</v>
      </c>
      <c r="H163" s="14">
        <f ca="1">IFERROR(IF(Prêt_Non_Payé*Valeurs_Entrées,Capital,""), "")</f>
        <v>740.08806370347793</v>
      </c>
      <c r="I163" s="14">
        <f ca="1">IFERROR(IF(Prêt_Non_Payé*Valeurs_Entrées,Intérêts,""), "")</f>
        <v>487.23815735691414</v>
      </c>
      <c r="J163" s="18">
        <f ca="1">IFERROR(IF(Prêt_Non_Payé*Valeurs_Entrées,Fin_Solde,""), "")</f>
        <v>145431.35914336771</v>
      </c>
    </row>
    <row r="164" spans="2:10" ht="17" customHeight="1">
      <c r="D164" s="16">
        <f ca="1">IFERROR(IF(Prêt_Non_Payé*Valeurs_Entrées,Numéro_Paiement,""), "")</f>
        <v>150</v>
      </c>
      <c r="E164" s="17">
        <f ca="1">IFERROR(IF(Prêt_Non_Payé*Valeurs_Entrées,Paiement_Date,""), "")</f>
        <v>49867</v>
      </c>
      <c r="F164" s="14">
        <f ca="1">IFERROR(IF(Prêt_Non_Payé*Valeurs_Entrées,Début_Solde,""), "")</f>
        <v>145431.35914336771</v>
      </c>
      <c r="G164" s="14">
        <f ca="1">IFERROR(IF(Prêt_Non_Payé*Valeurs_Entrées,Mensualité,""), "")</f>
        <v>1227.3262210603918</v>
      </c>
      <c r="H164" s="14">
        <f ca="1">IFERROR(IF(Prêt_Non_Payé*Valeurs_Entrées,Capital,""), "")</f>
        <v>742.55502391582286</v>
      </c>
      <c r="I164" s="14">
        <f ca="1">IFERROR(IF(Prêt_Non_Payé*Valeurs_Entrées,Intérêts,""), "")</f>
        <v>484.77119714456904</v>
      </c>
      <c r="J164" s="18">
        <f ca="1">IFERROR(IF(Prêt_Non_Payé*Valeurs_Entrées,Fin_Solde,""), "")</f>
        <v>144688.80411945176</v>
      </c>
    </row>
    <row r="165" spans="2:10" ht="17" customHeight="1">
      <c r="D165" s="16">
        <f ca="1">IFERROR(IF(Prêt_Non_Payé*Valeurs_Entrées,Numéro_Paiement,""), "")</f>
        <v>151</v>
      </c>
      <c r="E165" s="17">
        <f ca="1">IFERROR(IF(Prêt_Non_Payé*Valeurs_Entrées,Paiement_Date,""), "")</f>
        <v>49898</v>
      </c>
      <c r="F165" s="14">
        <f ca="1">IFERROR(IF(Prêt_Non_Payé*Valeurs_Entrées,Début_Solde,""), "")</f>
        <v>144688.80411945176</v>
      </c>
      <c r="G165" s="14">
        <f ca="1">IFERROR(IF(Prêt_Non_Payé*Valeurs_Entrées,Mensualité,""), "")</f>
        <v>1227.3262210603918</v>
      </c>
      <c r="H165" s="14">
        <f ca="1">IFERROR(IF(Prêt_Non_Payé*Valeurs_Entrées,Capital,""), "")</f>
        <v>745.03020732887546</v>
      </c>
      <c r="I165" s="14">
        <f ca="1">IFERROR(IF(Prêt_Non_Payé*Valeurs_Entrées,Intérêts,""), "")</f>
        <v>482.29601373151627</v>
      </c>
      <c r="J165" s="18">
        <f ca="1">IFERROR(IF(Prêt_Non_Payé*Valeurs_Entrées,Fin_Solde,""), "")</f>
        <v>143943.77391212288</v>
      </c>
    </row>
    <row r="166" spans="2:10" ht="17" customHeight="1">
      <c r="D166" s="16">
        <f ca="1">IFERROR(IF(Prêt_Non_Payé*Valeurs_Entrées,Numéro_Paiement,""), "")</f>
        <v>152</v>
      </c>
      <c r="E166" s="17">
        <f ca="1">IFERROR(IF(Prêt_Non_Payé*Valeurs_Entrées,Paiement_Date,""), "")</f>
        <v>49929</v>
      </c>
      <c r="F166" s="14">
        <f ca="1">IFERROR(IF(Prêt_Non_Payé*Valeurs_Entrées,Début_Solde,""), "")</f>
        <v>143943.77391212288</v>
      </c>
      <c r="G166" s="14">
        <f ca="1">IFERROR(IF(Prêt_Non_Payé*Valeurs_Entrées,Mensualité,""), "")</f>
        <v>1227.3262210603918</v>
      </c>
      <c r="H166" s="14">
        <f ca="1">IFERROR(IF(Prêt_Non_Payé*Valeurs_Entrées,Capital,""), "")</f>
        <v>747.51364135330505</v>
      </c>
      <c r="I166" s="14">
        <f ca="1">IFERROR(IF(Prêt_Non_Payé*Valeurs_Entrées,Intérêts,""), "")</f>
        <v>479.8125797070868</v>
      </c>
      <c r="J166" s="18">
        <f ca="1">IFERROR(IF(Prêt_Non_Payé*Valeurs_Entrées,Fin_Solde,""), "")</f>
        <v>143196.26027076956</v>
      </c>
    </row>
    <row r="167" spans="2:10" ht="17" customHeight="1">
      <c r="D167" s="16">
        <f ca="1">IFERROR(IF(Prêt_Non_Payé*Valeurs_Entrées,Numéro_Paiement,""), "")</f>
        <v>153</v>
      </c>
      <c r="E167" s="17">
        <f ca="1">IFERROR(IF(Prêt_Non_Payé*Valeurs_Entrées,Paiement_Date,""), "")</f>
        <v>49959</v>
      </c>
      <c r="F167" s="14">
        <f ca="1">IFERROR(IF(Prêt_Non_Payé*Valeurs_Entrées,Début_Solde,""), "")</f>
        <v>143196.26027076956</v>
      </c>
      <c r="G167" s="14">
        <f ca="1">IFERROR(IF(Prêt_Non_Payé*Valeurs_Entrées,Mensualité,""), "")</f>
        <v>1227.3262210603918</v>
      </c>
      <c r="H167" s="14">
        <f ca="1">IFERROR(IF(Prêt_Non_Payé*Valeurs_Entrées,Capital,""), "")</f>
        <v>750.00535349114944</v>
      </c>
      <c r="I167" s="14">
        <f ca="1">IFERROR(IF(Prêt_Non_Payé*Valeurs_Entrées,Intérêts,""), "")</f>
        <v>477.32086756924241</v>
      </c>
      <c r="J167" s="18">
        <f ca="1">IFERROR(IF(Prêt_Non_Payé*Valeurs_Entrées,Fin_Solde,""), "")</f>
        <v>142446.25491727839</v>
      </c>
    </row>
    <row r="168" spans="2:10" ht="17" customHeight="1">
      <c r="D168" s="16">
        <f ca="1">IFERROR(IF(Prêt_Non_Payé*Valeurs_Entrées,Numéro_Paiement,""), "")</f>
        <v>154</v>
      </c>
      <c r="E168" s="17">
        <f ca="1">IFERROR(IF(Prêt_Non_Payé*Valeurs_Entrées,Paiement_Date,""), "")</f>
        <v>49990</v>
      </c>
      <c r="F168" s="14">
        <f ca="1">IFERROR(IF(Prêt_Non_Payé*Valeurs_Entrées,Début_Solde,""), "")</f>
        <v>142446.25491727839</v>
      </c>
      <c r="G168" s="14">
        <f ca="1">IFERROR(IF(Prêt_Non_Payé*Valeurs_Entrées,Mensualité,""), "")</f>
        <v>1227.3262210603918</v>
      </c>
      <c r="H168" s="14">
        <f ca="1">IFERROR(IF(Prêt_Non_Payé*Valeurs_Entrées,Capital,""), "")</f>
        <v>752.50537133611988</v>
      </c>
      <c r="I168" s="14">
        <f ca="1">IFERROR(IF(Prêt_Non_Payé*Valeurs_Entrées,Intérêts,""), "")</f>
        <v>474.82084972427191</v>
      </c>
      <c r="J168" s="18">
        <f ca="1">IFERROR(IF(Prêt_Non_Payé*Valeurs_Entrées,Fin_Solde,""), "")</f>
        <v>141693.74954594226</v>
      </c>
    </row>
    <row r="169" spans="2:10" ht="17" customHeight="1">
      <c r="D169" s="16">
        <f ca="1">IFERROR(IF(Prêt_Non_Payé*Valeurs_Entrées,Numéro_Paiement,""), "")</f>
        <v>155</v>
      </c>
      <c r="E169" s="17">
        <f ca="1">IFERROR(IF(Prêt_Non_Payé*Valeurs_Entrées,Paiement_Date,""), "")</f>
        <v>50020</v>
      </c>
      <c r="F169" s="14">
        <f ca="1">IFERROR(IF(Prêt_Non_Payé*Valeurs_Entrées,Début_Solde,""), "")</f>
        <v>141693.74954594226</v>
      </c>
      <c r="G169" s="14">
        <f ca="1">IFERROR(IF(Prêt_Non_Payé*Valeurs_Entrées,Mensualité,""), "")</f>
        <v>1227.3262210603918</v>
      </c>
      <c r="H169" s="14">
        <f ca="1">IFERROR(IF(Prêt_Non_Payé*Valeurs_Entrées,Capital,""), "")</f>
        <v>755.0137225739071</v>
      </c>
      <c r="I169" s="14">
        <f ca="1">IFERROR(IF(Prêt_Non_Payé*Valeurs_Entrées,Intérêts,""), "")</f>
        <v>472.3124984864848</v>
      </c>
      <c r="J169" s="18">
        <f ca="1">IFERROR(IF(Prêt_Non_Payé*Valeurs_Entrées,Fin_Solde,""), "")</f>
        <v>140938.73582336836</v>
      </c>
    </row>
    <row r="170" spans="2:10" ht="17" customHeight="1">
      <c r="B170" s="28">
        <v>13</v>
      </c>
      <c r="D170" s="19">
        <f ca="1">IFERROR(IF(Prêt_Non_Payé*Valeurs_Entrées,Numéro_Paiement,""), "")</f>
        <v>156</v>
      </c>
      <c r="E170" s="27">
        <f ca="1">IFERROR(IF(Prêt_Non_Payé*Valeurs_Entrées,Paiement_Date,""), "")</f>
        <v>50051</v>
      </c>
      <c r="F170" s="18">
        <f ca="1">IFERROR(IF(Prêt_Non_Payé*Valeurs_Entrées,Début_Solde,""), "")</f>
        <v>140938.73582336836</v>
      </c>
      <c r="G170" s="18">
        <f ca="1">IFERROR(IF(Prêt_Non_Payé*Valeurs_Entrées,Mensualité,""), "")</f>
        <v>1227.3262210603918</v>
      </c>
      <c r="H170" s="18">
        <f ca="1">IFERROR(IF(Prêt_Non_Payé*Valeurs_Entrées,Capital,""), "")</f>
        <v>757.53043498248667</v>
      </c>
      <c r="I170" s="18">
        <f ca="1">IFERROR(IF(Prêt_Non_Payé*Valeurs_Entrées,Intérêts,""), "")</f>
        <v>469.79578607790512</v>
      </c>
      <c r="J170" s="18">
        <f ca="1">IFERROR(IF(Prêt_Non_Payé*Valeurs_Entrées,Fin_Solde,""), "")</f>
        <v>140181.2053883858</v>
      </c>
    </row>
    <row r="171" spans="2:10" ht="17" customHeight="1">
      <c r="D171" s="16">
        <f ca="1">IFERROR(IF(Prêt_Non_Payé*Valeurs_Entrées,Numéro_Paiement,""), "")</f>
        <v>157</v>
      </c>
      <c r="E171" s="17">
        <f ca="1">IFERROR(IF(Prêt_Non_Payé*Valeurs_Entrées,Paiement_Date,""), "")</f>
        <v>50082</v>
      </c>
      <c r="F171" s="14">
        <f ca="1">IFERROR(IF(Prêt_Non_Payé*Valeurs_Entrées,Début_Solde,""), "")</f>
        <v>140181.2053883858</v>
      </c>
      <c r="G171" s="14">
        <f ca="1">IFERROR(IF(Prêt_Non_Payé*Valeurs_Entrées,Mensualité,""), "")</f>
        <v>1227.3262210603918</v>
      </c>
      <c r="H171" s="14">
        <f ca="1">IFERROR(IF(Prêt_Non_Payé*Valeurs_Entrées,Capital,""), "")</f>
        <v>760.05553643242831</v>
      </c>
      <c r="I171" s="14">
        <f ca="1">IFERROR(IF(Prêt_Non_Payé*Valeurs_Entrées,Intérêts,""), "")</f>
        <v>467.27068462796359</v>
      </c>
      <c r="J171" s="18">
        <f ca="1">IFERROR(IF(Prêt_Non_Payé*Valeurs_Entrées,Fin_Solde,""), "")</f>
        <v>139421.14985195335</v>
      </c>
    </row>
    <row r="172" spans="2:10" ht="17" customHeight="1">
      <c r="D172" s="16">
        <f ca="1">IFERROR(IF(Prêt_Non_Payé*Valeurs_Entrées,Numéro_Paiement,""), "")</f>
        <v>158</v>
      </c>
      <c r="E172" s="17">
        <f ca="1">IFERROR(IF(Prêt_Non_Payé*Valeurs_Entrées,Paiement_Date,""), "")</f>
        <v>50110</v>
      </c>
      <c r="F172" s="14">
        <f ca="1">IFERROR(IF(Prêt_Non_Payé*Valeurs_Entrées,Début_Solde,""), "")</f>
        <v>139421.14985195335</v>
      </c>
      <c r="G172" s="14">
        <f ca="1">IFERROR(IF(Prêt_Non_Payé*Valeurs_Entrées,Mensualité,""), "")</f>
        <v>1227.3262210603918</v>
      </c>
      <c r="H172" s="14">
        <f ca="1">IFERROR(IF(Prêt_Non_Payé*Valeurs_Entrées,Capital,""), "")</f>
        <v>762.58905488720313</v>
      </c>
      <c r="I172" s="14">
        <f ca="1">IFERROR(IF(Prêt_Non_Payé*Valeurs_Entrées,Intérêts,""), "")</f>
        <v>464.73716617318883</v>
      </c>
      <c r="J172" s="18">
        <f ca="1">IFERROR(IF(Prêt_Non_Payé*Valeurs_Entrées,Fin_Solde,""), "")</f>
        <v>138658.56079706617</v>
      </c>
    </row>
    <row r="173" spans="2:10" ht="17" customHeight="1">
      <c r="D173" s="16">
        <f ca="1">IFERROR(IF(Prêt_Non_Payé*Valeurs_Entrées,Numéro_Paiement,""), "")</f>
        <v>159</v>
      </c>
      <c r="E173" s="17">
        <f ca="1">IFERROR(IF(Prêt_Non_Payé*Valeurs_Entrées,Paiement_Date,""), "")</f>
        <v>50141</v>
      </c>
      <c r="F173" s="14">
        <f ca="1">IFERROR(IF(Prêt_Non_Payé*Valeurs_Entrées,Début_Solde,""), "")</f>
        <v>138658.56079706617</v>
      </c>
      <c r="G173" s="14">
        <f ca="1">IFERROR(IF(Prêt_Non_Payé*Valeurs_Entrées,Mensualité,""), "")</f>
        <v>1227.3262210603918</v>
      </c>
      <c r="H173" s="14">
        <f ca="1">IFERROR(IF(Prêt_Non_Payé*Valeurs_Entrées,Capital,""), "")</f>
        <v>765.13101840349373</v>
      </c>
      <c r="I173" s="14">
        <f ca="1">IFERROR(IF(Prêt_Non_Payé*Valeurs_Entrées,Intérêts,""), "")</f>
        <v>462.19520265689812</v>
      </c>
      <c r="J173" s="18">
        <f ca="1">IFERROR(IF(Prêt_Non_Payé*Valeurs_Entrées,Fin_Solde,""), "")</f>
        <v>137893.42977866257</v>
      </c>
    </row>
    <row r="174" spans="2:10" ht="17" customHeight="1">
      <c r="D174" s="16">
        <f ca="1">IFERROR(IF(Prêt_Non_Payé*Valeurs_Entrées,Numéro_Paiement,""), "")</f>
        <v>160</v>
      </c>
      <c r="E174" s="17">
        <f ca="1">IFERROR(IF(Prêt_Non_Payé*Valeurs_Entrées,Paiement_Date,""), "")</f>
        <v>50171</v>
      </c>
      <c r="F174" s="14">
        <f ca="1">IFERROR(IF(Prêt_Non_Payé*Valeurs_Entrées,Début_Solde,""), "")</f>
        <v>137893.42977866257</v>
      </c>
      <c r="G174" s="14">
        <f ca="1">IFERROR(IF(Prêt_Non_Payé*Valeurs_Entrées,Mensualité,""), "")</f>
        <v>1227.3262210603918</v>
      </c>
      <c r="H174" s="14">
        <f ca="1">IFERROR(IF(Prêt_Non_Payé*Valeurs_Entrées,Capital,""), "")</f>
        <v>767.68145513150546</v>
      </c>
      <c r="I174" s="14">
        <f ca="1">IFERROR(IF(Prêt_Non_Payé*Valeurs_Entrées,Intérêts,""), "")</f>
        <v>459.6447659288865</v>
      </c>
      <c r="J174" s="18">
        <f ca="1">IFERROR(IF(Prêt_Non_Payé*Valeurs_Entrées,Fin_Solde,""), "")</f>
        <v>137125.74832353106</v>
      </c>
    </row>
    <row r="175" spans="2:10" ht="17" customHeight="1">
      <c r="D175" s="16">
        <f ca="1">IFERROR(IF(Prêt_Non_Payé*Valeurs_Entrées,Numéro_Paiement,""), "")</f>
        <v>161</v>
      </c>
      <c r="E175" s="17">
        <f ca="1">IFERROR(IF(Prêt_Non_Payé*Valeurs_Entrées,Paiement_Date,""), "")</f>
        <v>50202</v>
      </c>
      <c r="F175" s="14">
        <f ca="1">IFERROR(IF(Prêt_Non_Payé*Valeurs_Entrées,Début_Solde,""), "")</f>
        <v>137125.74832353106</v>
      </c>
      <c r="G175" s="14">
        <f ca="1">IFERROR(IF(Prêt_Non_Payé*Valeurs_Entrées,Mensualité,""), "")</f>
        <v>1227.3262210603918</v>
      </c>
      <c r="H175" s="14">
        <f ca="1">IFERROR(IF(Prêt_Non_Payé*Valeurs_Entrées,Capital,""), "")</f>
        <v>770.24039331527706</v>
      </c>
      <c r="I175" s="14">
        <f ca="1">IFERROR(IF(Prêt_Non_Payé*Valeurs_Entrées,Intérêts,""), "")</f>
        <v>457.08582774511473</v>
      </c>
      <c r="J175" s="18">
        <f ca="1">IFERROR(IF(Prêt_Non_Payé*Valeurs_Entrées,Fin_Solde,""), "")</f>
        <v>136355.50793021571</v>
      </c>
    </row>
    <row r="176" spans="2:10" ht="17" customHeight="1">
      <c r="D176" s="16">
        <f ca="1">IFERROR(IF(Prêt_Non_Payé*Valeurs_Entrées,Numéro_Paiement,""), "")</f>
        <v>162</v>
      </c>
      <c r="E176" s="17">
        <f ca="1">IFERROR(IF(Prêt_Non_Payé*Valeurs_Entrées,Paiement_Date,""), "")</f>
        <v>50232</v>
      </c>
      <c r="F176" s="14">
        <f ca="1">IFERROR(IF(Prêt_Non_Payé*Valeurs_Entrées,Début_Solde,""), "")</f>
        <v>136355.50793021571</v>
      </c>
      <c r="G176" s="14">
        <f ca="1">IFERROR(IF(Prêt_Non_Payé*Valeurs_Entrées,Mensualité,""), "")</f>
        <v>1227.3262210603918</v>
      </c>
      <c r="H176" s="14">
        <f ca="1">IFERROR(IF(Prêt_Non_Payé*Valeurs_Entrées,Capital,""), "")</f>
        <v>772.80786129299474</v>
      </c>
      <c r="I176" s="14">
        <f ca="1">IFERROR(IF(Prêt_Non_Payé*Valeurs_Entrées,Intérêts,""), "")</f>
        <v>454.51835976739716</v>
      </c>
      <c r="J176" s="18">
        <f ca="1">IFERROR(IF(Prêt_Non_Payé*Valeurs_Entrées,Fin_Solde,""), "")</f>
        <v>135582.70006892266</v>
      </c>
    </row>
    <row r="177" spans="2:10" ht="17" customHeight="1">
      <c r="D177" s="16">
        <f ca="1">IFERROR(IF(Prêt_Non_Payé*Valeurs_Entrées,Numéro_Paiement,""), "")</f>
        <v>163</v>
      </c>
      <c r="E177" s="17">
        <f ca="1">IFERROR(IF(Prêt_Non_Payé*Valeurs_Entrées,Paiement_Date,""), "")</f>
        <v>50263</v>
      </c>
      <c r="F177" s="14">
        <f ca="1">IFERROR(IF(Prêt_Non_Payé*Valeurs_Entrées,Début_Solde,""), "")</f>
        <v>135582.70006892266</v>
      </c>
      <c r="G177" s="14">
        <f ca="1">IFERROR(IF(Prêt_Non_Payé*Valeurs_Entrées,Mensualité,""), "")</f>
        <v>1227.3262210603918</v>
      </c>
      <c r="H177" s="14">
        <f ca="1">IFERROR(IF(Prêt_Non_Payé*Valeurs_Entrées,Capital,""), "")</f>
        <v>775.38388749730461</v>
      </c>
      <c r="I177" s="14">
        <f ca="1">IFERROR(IF(Prêt_Non_Payé*Valeurs_Entrées,Intérêts,""), "")</f>
        <v>451.94233356308717</v>
      </c>
      <c r="J177" s="18">
        <f ca="1">IFERROR(IF(Prêt_Non_Payé*Valeurs_Entrées,Fin_Solde,""), "")</f>
        <v>134807.31618142524</v>
      </c>
    </row>
    <row r="178" spans="2:10" ht="17" customHeight="1">
      <c r="D178" s="16">
        <f ca="1">IFERROR(IF(Prêt_Non_Payé*Valeurs_Entrées,Numéro_Paiement,""), "")</f>
        <v>164</v>
      </c>
      <c r="E178" s="17">
        <f ca="1">IFERROR(IF(Prêt_Non_Payé*Valeurs_Entrées,Paiement_Date,""), "")</f>
        <v>50294</v>
      </c>
      <c r="F178" s="14">
        <f ca="1">IFERROR(IF(Prêt_Non_Payé*Valeurs_Entrées,Début_Solde,""), "")</f>
        <v>134807.31618142524</v>
      </c>
      <c r="G178" s="14">
        <f ca="1">IFERROR(IF(Prêt_Non_Payé*Valeurs_Entrées,Mensualité,""), "")</f>
        <v>1227.3262210603918</v>
      </c>
      <c r="H178" s="14">
        <f ca="1">IFERROR(IF(Prêt_Non_Payé*Valeurs_Entrées,Capital,""), "")</f>
        <v>777.96850045562906</v>
      </c>
      <c r="I178" s="14">
        <f ca="1">IFERROR(IF(Prêt_Non_Payé*Valeurs_Entrées,Intérêts,""), "")</f>
        <v>449.35772060476285</v>
      </c>
      <c r="J178" s="18">
        <f ca="1">IFERROR(IF(Prêt_Non_Payé*Valeurs_Entrées,Fin_Solde,""), "")</f>
        <v>134029.34768096969</v>
      </c>
    </row>
    <row r="179" spans="2:10" ht="17" customHeight="1">
      <c r="D179" s="16">
        <f ca="1">IFERROR(IF(Prêt_Non_Payé*Valeurs_Entrées,Numéro_Paiement,""), "")</f>
        <v>165</v>
      </c>
      <c r="E179" s="17">
        <f ca="1">IFERROR(IF(Prêt_Non_Payé*Valeurs_Entrées,Paiement_Date,""), "")</f>
        <v>50324</v>
      </c>
      <c r="F179" s="14">
        <f ca="1">IFERROR(IF(Prêt_Non_Payé*Valeurs_Entrées,Début_Solde,""), "")</f>
        <v>134029.34768096969</v>
      </c>
      <c r="G179" s="14">
        <f ca="1">IFERROR(IF(Prêt_Non_Payé*Valeurs_Entrées,Mensualité,""), "")</f>
        <v>1227.3262210603918</v>
      </c>
      <c r="H179" s="14">
        <f ca="1">IFERROR(IF(Prêt_Non_Payé*Valeurs_Entrées,Capital,""), "")</f>
        <v>780.56172879048108</v>
      </c>
      <c r="I179" s="14">
        <f ca="1">IFERROR(IF(Prêt_Non_Payé*Valeurs_Entrées,Intérêts,""), "")</f>
        <v>446.7644922699107</v>
      </c>
      <c r="J179" s="18">
        <f ca="1">IFERROR(IF(Prêt_Non_Payé*Valeurs_Entrées,Fin_Solde,""), "")</f>
        <v>133248.78595217917</v>
      </c>
    </row>
    <row r="180" spans="2:10" ht="17" customHeight="1">
      <c r="D180" s="16">
        <f ca="1">IFERROR(IF(Prêt_Non_Payé*Valeurs_Entrées,Numéro_Paiement,""), "")</f>
        <v>166</v>
      </c>
      <c r="E180" s="17">
        <f ca="1">IFERROR(IF(Prêt_Non_Payé*Valeurs_Entrées,Paiement_Date,""), "")</f>
        <v>50355</v>
      </c>
      <c r="F180" s="14">
        <f ca="1">IFERROR(IF(Prêt_Non_Payé*Valeurs_Entrées,Début_Solde,""), "")</f>
        <v>133248.78595217917</v>
      </c>
      <c r="G180" s="14">
        <f ca="1">IFERROR(IF(Prêt_Non_Payé*Valeurs_Entrées,Mensualité,""), "")</f>
        <v>1227.3262210603918</v>
      </c>
      <c r="H180" s="14">
        <f ca="1">IFERROR(IF(Prêt_Non_Payé*Valeurs_Entrées,Capital,""), "")</f>
        <v>783.16360121978278</v>
      </c>
      <c r="I180" s="14">
        <f ca="1">IFERROR(IF(Prêt_Non_Payé*Valeurs_Entrées,Intérêts,""), "")</f>
        <v>444.16261984060918</v>
      </c>
      <c r="J180" s="18">
        <f ca="1">IFERROR(IF(Prêt_Non_Payé*Valeurs_Entrées,Fin_Solde,""), "")</f>
        <v>132465.62235095934</v>
      </c>
    </row>
    <row r="181" spans="2:10" ht="17" customHeight="1">
      <c r="D181" s="16">
        <f ca="1">IFERROR(IF(Prêt_Non_Payé*Valeurs_Entrées,Numéro_Paiement,""), "")</f>
        <v>167</v>
      </c>
      <c r="E181" s="17">
        <f ca="1">IFERROR(IF(Prêt_Non_Payé*Valeurs_Entrées,Paiement_Date,""), "")</f>
        <v>50385</v>
      </c>
      <c r="F181" s="14">
        <f ca="1">IFERROR(IF(Prêt_Non_Payé*Valeurs_Entrées,Début_Solde,""), "")</f>
        <v>132465.62235095934</v>
      </c>
      <c r="G181" s="14">
        <f ca="1">IFERROR(IF(Prêt_Non_Payé*Valeurs_Entrées,Mensualité,""), "")</f>
        <v>1227.3262210603918</v>
      </c>
      <c r="H181" s="14">
        <f ca="1">IFERROR(IF(Prêt_Non_Payé*Valeurs_Entrées,Capital,""), "")</f>
        <v>785.77414655718201</v>
      </c>
      <c r="I181" s="14">
        <f ca="1">IFERROR(IF(Prêt_Non_Payé*Valeurs_Entrées,Intérêts,""), "")</f>
        <v>441.55207450320995</v>
      </c>
      <c r="J181" s="18">
        <f ca="1">IFERROR(IF(Prêt_Non_Payé*Valeurs_Entrées,Fin_Solde,""), "")</f>
        <v>131679.84820440208</v>
      </c>
    </row>
    <row r="182" spans="2:10" ht="17" customHeight="1">
      <c r="B182" s="28">
        <v>14</v>
      </c>
      <c r="D182" s="19">
        <f ca="1">IFERROR(IF(Prêt_Non_Payé*Valeurs_Entrées,Numéro_Paiement,""), "")</f>
        <v>168</v>
      </c>
      <c r="E182" s="27">
        <f ca="1">IFERROR(IF(Prêt_Non_Payé*Valeurs_Entrées,Paiement_Date,""), "")</f>
        <v>50416</v>
      </c>
      <c r="F182" s="18">
        <f ca="1">IFERROR(IF(Prêt_Non_Payé*Valeurs_Entrées,Début_Solde,""), "")</f>
        <v>131679.84820440208</v>
      </c>
      <c r="G182" s="18">
        <f ca="1">IFERROR(IF(Prêt_Non_Payé*Valeurs_Entrées,Mensualité,""), "")</f>
        <v>1227.3262210603918</v>
      </c>
      <c r="H182" s="18">
        <f ca="1">IFERROR(IF(Prêt_Non_Payé*Valeurs_Entrées,Capital,""), "")</f>
        <v>788.39339371237259</v>
      </c>
      <c r="I182" s="18">
        <f ca="1">IFERROR(IF(Prêt_Non_Payé*Valeurs_Entrées,Intérêts,""), "")</f>
        <v>438.93282734801926</v>
      </c>
      <c r="J182" s="18">
        <f ca="1">IFERROR(IF(Prêt_Non_Payé*Valeurs_Entrées,Fin_Solde,""), "")</f>
        <v>130891.45481068979</v>
      </c>
    </row>
    <row r="183" spans="2:10" ht="17" customHeight="1">
      <c r="D183" s="16">
        <f ca="1">IFERROR(IF(Prêt_Non_Payé*Valeurs_Entrées,Numéro_Paiement,""), "")</f>
        <v>169</v>
      </c>
      <c r="E183" s="17">
        <f ca="1">IFERROR(IF(Prêt_Non_Payé*Valeurs_Entrées,Paiement_Date,""), "")</f>
        <v>50447</v>
      </c>
      <c r="F183" s="14">
        <f ca="1">IFERROR(IF(Prêt_Non_Payé*Valeurs_Entrées,Début_Solde,""), "")</f>
        <v>130891.45481068979</v>
      </c>
      <c r="G183" s="14">
        <f ca="1">IFERROR(IF(Prêt_Non_Payé*Valeurs_Entrées,Mensualité,""), "")</f>
        <v>1227.3262210603918</v>
      </c>
      <c r="H183" s="14">
        <f ca="1">IFERROR(IF(Prêt_Non_Payé*Valeurs_Entrées,Capital,""), "")</f>
        <v>791.02137169141383</v>
      </c>
      <c r="I183" s="14">
        <f ca="1">IFERROR(IF(Prêt_Non_Payé*Valeurs_Entrées,Intérêts,""), "")</f>
        <v>436.30484936897807</v>
      </c>
      <c r="J183" s="18">
        <f ca="1">IFERROR(IF(Prêt_Non_Payé*Valeurs_Entrées,Fin_Solde,""), "")</f>
        <v>130100.4334389983</v>
      </c>
    </row>
    <row r="184" spans="2:10" ht="17" customHeight="1">
      <c r="D184" s="16">
        <f ca="1">IFERROR(IF(Prêt_Non_Payé*Valeurs_Entrées,Numéro_Paiement,""), "")</f>
        <v>170</v>
      </c>
      <c r="E184" s="17">
        <f ca="1">IFERROR(IF(Prêt_Non_Payé*Valeurs_Entrées,Paiement_Date,""), "")</f>
        <v>50475</v>
      </c>
      <c r="F184" s="14">
        <f ca="1">IFERROR(IF(Prêt_Non_Payé*Valeurs_Entrées,Début_Solde,""), "")</f>
        <v>130100.4334389983</v>
      </c>
      <c r="G184" s="14">
        <f ca="1">IFERROR(IF(Prêt_Non_Payé*Valeurs_Entrées,Mensualité,""), "")</f>
        <v>1227.3262210603918</v>
      </c>
      <c r="H184" s="14">
        <f ca="1">IFERROR(IF(Prêt_Non_Payé*Valeurs_Entrées,Capital,""), "")</f>
        <v>793.65810959705198</v>
      </c>
      <c r="I184" s="14">
        <f ca="1">IFERROR(IF(Prêt_Non_Payé*Valeurs_Entrées,Intérêts,""), "")</f>
        <v>433.66811146333993</v>
      </c>
      <c r="J184" s="18">
        <f ca="1">IFERROR(IF(Prêt_Non_Payé*Valeurs_Entrées,Fin_Solde,""), "")</f>
        <v>129306.77532940119</v>
      </c>
    </row>
    <row r="185" spans="2:10" ht="17" customHeight="1">
      <c r="D185" s="16">
        <f ca="1">IFERROR(IF(Prêt_Non_Payé*Valeurs_Entrées,Numéro_Paiement,""), "")</f>
        <v>171</v>
      </c>
      <c r="E185" s="17">
        <f ca="1">IFERROR(IF(Prêt_Non_Payé*Valeurs_Entrées,Paiement_Date,""), "")</f>
        <v>50506</v>
      </c>
      <c r="F185" s="14">
        <f ca="1">IFERROR(IF(Prêt_Non_Payé*Valeurs_Entrées,Début_Solde,""), "")</f>
        <v>129306.77532940119</v>
      </c>
      <c r="G185" s="14">
        <f ca="1">IFERROR(IF(Prêt_Non_Payé*Valeurs_Entrées,Mensualité,""), "")</f>
        <v>1227.3262210603918</v>
      </c>
      <c r="H185" s="14">
        <f ca="1">IFERROR(IF(Prêt_Non_Payé*Valeurs_Entrées,Capital,""), "")</f>
        <v>796.3036366290421</v>
      </c>
      <c r="I185" s="14">
        <f ca="1">IFERROR(IF(Prêt_Non_Payé*Valeurs_Entrées,Intérêts,""), "")</f>
        <v>431.0225844313498</v>
      </c>
      <c r="J185" s="18">
        <f ca="1">IFERROR(IF(Prêt_Non_Payé*Valeurs_Entrées,Fin_Solde,""), "")</f>
        <v>128510.47169277212</v>
      </c>
    </row>
    <row r="186" spans="2:10" ht="17" customHeight="1">
      <c r="D186" s="16">
        <f ca="1">IFERROR(IF(Prêt_Non_Payé*Valeurs_Entrées,Numéro_Paiement,""), "")</f>
        <v>172</v>
      </c>
      <c r="E186" s="17">
        <f ca="1">IFERROR(IF(Prêt_Non_Payé*Valeurs_Entrées,Paiement_Date,""), "")</f>
        <v>50536</v>
      </c>
      <c r="F186" s="14">
        <f ca="1">IFERROR(IF(Prêt_Non_Payé*Valeurs_Entrées,Début_Solde,""), "")</f>
        <v>128510.47169277212</v>
      </c>
      <c r="G186" s="14">
        <f ca="1">IFERROR(IF(Prêt_Non_Payé*Valeurs_Entrées,Mensualité,""), "")</f>
        <v>1227.3262210603918</v>
      </c>
      <c r="H186" s="14">
        <f ca="1">IFERROR(IF(Prêt_Non_Payé*Valeurs_Entrées,Capital,""), "")</f>
        <v>798.95798208447229</v>
      </c>
      <c r="I186" s="14">
        <f ca="1">IFERROR(IF(Prêt_Non_Payé*Valeurs_Entrées,Intérêts,""), "")</f>
        <v>428.36823897591967</v>
      </c>
      <c r="J186" s="18">
        <f ca="1">IFERROR(IF(Prêt_Non_Payé*Valeurs_Entrées,Fin_Solde,""), "")</f>
        <v>127711.51371068764</v>
      </c>
    </row>
    <row r="187" spans="2:10" ht="17" customHeight="1">
      <c r="D187" s="16">
        <f ca="1">IFERROR(IF(Prêt_Non_Payé*Valeurs_Entrées,Numéro_Paiement,""), "")</f>
        <v>173</v>
      </c>
      <c r="E187" s="17">
        <f ca="1">IFERROR(IF(Prêt_Non_Payé*Valeurs_Entrées,Paiement_Date,""), "")</f>
        <v>50567</v>
      </c>
      <c r="F187" s="14">
        <f ca="1">IFERROR(IF(Prêt_Non_Payé*Valeurs_Entrées,Début_Solde,""), "")</f>
        <v>127711.51371068764</v>
      </c>
      <c r="G187" s="14">
        <f ca="1">IFERROR(IF(Prêt_Non_Payé*Valeurs_Entrées,Mensualité,""), "")</f>
        <v>1227.3262210603918</v>
      </c>
      <c r="H187" s="14">
        <f ca="1">IFERROR(IF(Prêt_Non_Payé*Valeurs_Entrées,Capital,""), "")</f>
        <v>801.62117535808716</v>
      </c>
      <c r="I187" s="14">
        <f ca="1">IFERROR(IF(Prêt_Non_Payé*Valeurs_Entrées,Intérêts,""), "")</f>
        <v>425.7050457023048</v>
      </c>
      <c r="J187" s="18">
        <f ca="1">IFERROR(IF(Prêt_Non_Payé*Valeurs_Entrées,Fin_Solde,""), "")</f>
        <v>126909.89253532951</v>
      </c>
    </row>
    <row r="188" spans="2:10" ht="17" customHeight="1">
      <c r="D188" s="16">
        <f ca="1">IFERROR(IF(Prêt_Non_Payé*Valeurs_Entrées,Numéro_Paiement,""), "")</f>
        <v>174</v>
      </c>
      <c r="E188" s="17">
        <f ca="1">IFERROR(IF(Prêt_Non_Payé*Valeurs_Entrées,Paiement_Date,""), "")</f>
        <v>50597</v>
      </c>
      <c r="F188" s="14">
        <f ca="1">IFERROR(IF(Prêt_Non_Payé*Valeurs_Entrées,Début_Solde,""), "")</f>
        <v>126909.89253532951</v>
      </c>
      <c r="G188" s="14">
        <f ca="1">IFERROR(IF(Prêt_Non_Payé*Valeurs_Entrées,Mensualité,""), "")</f>
        <v>1227.3262210603918</v>
      </c>
      <c r="H188" s="14">
        <f ca="1">IFERROR(IF(Prêt_Non_Payé*Valeurs_Entrées,Capital,""), "")</f>
        <v>804.29324594261402</v>
      </c>
      <c r="I188" s="14">
        <f ca="1">IFERROR(IF(Prêt_Non_Payé*Valeurs_Entrées,Intérêts,""), "")</f>
        <v>423.03297511777788</v>
      </c>
      <c r="J188" s="18">
        <f ca="1">IFERROR(IF(Prêt_Non_Payé*Valeurs_Entrées,Fin_Solde,""), "")</f>
        <v>126105.59928938688</v>
      </c>
    </row>
    <row r="189" spans="2:10" ht="17" customHeight="1">
      <c r="D189" s="16">
        <f ca="1">IFERROR(IF(Prêt_Non_Payé*Valeurs_Entrées,Numéro_Paiement,""), "")</f>
        <v>175</v>
      </c>
      <c r="E189" s="17">
        <f ca="1">IFERROR(IF(Prêt_Non_Payé*Valeurs_Entrées,Paiement_Date,""), "")</f>
        <v>50628</v>
      </c>
      <c r="F189" s="14">
        <f ca="1">IFERROR(IF(Prêt_Non_Payé*Valeurs_Entrées,Début_Solde,""), "")</f>
        <v>126105.59928938688</v>
      </c>
      <c r="G189" s="14">
        <f ca="1">IFERROR(IF(Prêt_Non_Payé*Valeurs_Entrées,Mensualité,""), "")</f>
        <v>1227.3262210603918</v>
      </c>
      <c r="H189" s="14">
        <f ca="1">IFERROR(IF(Prêt_Non_Payé*Valeurs_Entrées,Capital,""), "")</f>
        <v>806.97422342908942</v>
      </c>
      <c r="I189" s="14">
        <f ca="1">IFERROR(IF(Prêt_Non_Payé*Valeurs_Entrées,Intérêts,""), "")</f>
        <v>420.35199763130237</v>
      </c>
      <c r="J189" s="18">
        <f ca="1">IFERROR(IF(Prêt_Non_Payé*Valeurs_Entrées,Fin_Solde,""), "")</f>
        <v>125298.62506595772</v>
      </c>
    </row>
    <row r="190" spans="2:10" ht="17" customHeight="1">
      <c r="D190" s="16">
        <f ca="1">IFERROR(IF(Prêt_Non_Payé*Valeurs_Entrées,Numéro_Paiement,""), "")</f>
        <v>176</v>
      </c>
      <c r="E190" s="17">
        <f ca="1">IFERROR(IF(Prêt_Non_Payé*Valeurs_Entrées,Paiement_Date,""), "")</f>
        <v>50659</v>
      </c>
      <c r="F190" s="14">
        <f ca="1">IFERROR(IF(Prêt_Non_Payé*Valeurs_Entrées,Début_Solde,""), "")</f>
        <v>125298.62506595772</v>
      </c>
      <c r="G190" s="14">
        <f ca="1">IFERROR(IF(Prêt_Non_Payé*Valeurs_Entrées,Mensualité,""), "")</f>
        <v>1227.3262210603918</v>
      </c>
      <c r="H190" s="14">
        <f ca="1">IFERROR(IF(Prêt_Non_Payé*Valeurs_Entrées,Capital,""), "")</f>
        <v>809.66413750718641</v>
      </c>
      <c r="I190" s="14">
        <f ca="1">IFERROR(IF(Prêt_Non_Payé*Valeurs_Entrées,Intérêts,""), "")</f>
        <v>417.66208355320555</v>
      </c>
      <c r="J190" s="18">
        <f ca="1">IFERROR(IF(Prêt_Non_Payé*Valeurs_Entrées,Fin_Solde,""), "")</f>
        <v>124488.96092845057</v>
      </c>
    </row>
    <row r="191" spans="2:10" ht="17" customHeight="1">
      <c r="D191" s="16">
        <f ca="1">IFERROR(IF(Prêt_Non_Payé*Valeurs_Entrées,Numéro_Paiement,""), "")</f>
        <v>177</v>
      </c>
      <c r="E191" s="17">
        <f ca="1">IFERROR(IF(Prêt_Non_Payé*Valeurs_Entrées,Paiement_Date,""), "")</f>
        <v>50689</v>
      </c>
      <c r="F191" s="14">
        <f ca="1">IFERROR(IF(Prêt_Non_Payé*Valeurs_Entrées,Début_Solde,""), "")</f>
        <v>124488.96092845057</v>
      </c>
      <c r="G191" s="14">
        <f ca="1">IFERROR(IF(Prêt_Non_Payé*Valeurs_Entrées,Mensualité,""), "")</f>
        <v>1227.3262210603918</v>
      </c>
      <c r="H191" s="14">
        <f ca="1">IFERROR(IF(Prêt_Non_Payé*Valeurs_Entrées,Capital,""), "")</f>
        <v>812.36301796554369</v>
      </c>
      <c r="I191" s="14">
        <f ca="1">IFERROR(IF(Prêt_Non_Payé*Valeurs_Entrées,Intérêts,""), "")</f>
        <v>414.96320309484815</v>
      </c>
      <c r="J191" s="18">
        <f ca="1">IFERROR(IF(Prêt_Non_Payé*Valeurs_Entrées,Fin_Solde,""), "")</f>
        <v>123676.59791048488</v>
      </c>
    </row>
    <row r="192" spans="2:10" ht="17" customHeight="1">
      <c r="D192" s="16">
        <f ca="1">IFERROR(IF(Prêt_Non_Payé*Valeurs_Entrées,Numéro_Paiement,""), "")</f>
        <v>178</v>
      </c>
      <c r="E192" s="17">
        <f ca="1">IFERROR(IF(Prêt_Non_Payé*Valeurs_Entrées,Paiement_Date,""), "")</f>
        <v>50720</v>
      </c>
      <c r="F192" s="14">
        <f ca="1">IFERROR(IF(Prêt_Non_Payé*Valeurs_Entrées,Début_Solde,""), "")</f>
        <v>123676.59791048488</v>
      </c>
      <c r="G192" s="14">
        <f ca="1">IFERROR(IF(Prêt_Non_Payé*Valeurs_Entrées,Mensualité,""), "")</f>
        <v>1227.3262210603918</v>
      </c>
      <c r="H192" s="14">
        <f ca="1">IFERROR(IF(Prêt_Non_Payé*Valeurs_Entrées,Capital,""), "")</f>
        <v>815.07089469209541</v>
      </c>
      <c r="I192" s="14">
        <f ca="1">IFERROR(IF(Prêt_Non_Payé*Valeurs_Entrées,Intérêts,""), "")</f>
        <v>412.25532636829632</v>
      </c>
      <c r="J192" s="18">
        <f ca="1">IFERROR(IF(Prêt_Non_Payé*Valeurs_Entrées,Fin_Solde,""), "")</f>
        <v>122861.52701579273</v>
      </c>
    </row>
    <row r="193" spans="2:10" ht="17" customHeight="1">
      <c r="D193" s="16">
        <f ca="1">IFERROR(IF(Prêt_Non_Payé*Valeurs_Entrées,Numéro_Paiement,""), "")</f>
        <v>179</v>
      </c>
      <c r="E193" s="17">
        <f ca="1">IFERROR(IF(Prêt_Non_Payé*Valeurs_Entrées,Paiement_Date,""), "")</f>
        <v>50750</v>
      </c>
      <c r="F193" s="14">
        <f ca="1">IFERROR(IF(Prêt_Non_Payé*Valeurs_Entrées,Début_Solde,""), "")</f>
        <v>122861.52701579273</v>
      </c>
      <c r="G193" s="14">
        <f ca="1">IFERROR(IF(Prêt_Non_Payé*Valeurs_Entrées,Mensualité,""), "")</f>
        <v>1227.3262210603918</v>
      </c>
      <c r="H193" s="14">
        <f ca="1">IFERROR(IF(Prêt_Non_Payé*Valeurs_Entrées,Capital,""), "")</f>
        <v>817.78779767440244</v>
      </c>
      <c r="I193" s="14">
        <f ca="1">IFERROR(IF(Prêt_Non_Payé*Valeurs_Entrées,Intérêts,""), "")</f>
        <v>409.53842338598935</v>
      </c>
      <c r="J193" s="18">
        <f ca="1">IFERROR(IF(Prêt_Non_Payé*Valeurs_Entrées,Fin_Solde,""), "")</f>
        <v>122043.73921811831</v>
      </c>
    </row>
    <row r="194" spans="2:10" ht="17" customHeight="1">
      <c r="B194" s="28">
        <v>15</v>
      </c>
      <c r="D194" s="19">
        <f ca="1">IFERROR(IF(Prêt_Non_Payé*Valeurs_Entrées,Numéro_Paiement,""), "")</f>
        <v>180</v>
      </c>
      <c r="E194" s="27">
        <f ca="1">IFERROR(IF(Prêt_Non_Payé*Valeurs_Entrées,Paiement_Date,""), "")</f>
        <v>50781</v>
      </c>
      <c r="F194" s="18">
        <f ca="1">IFERROR(IF(Prêt_Non_Payé*Valeurs_Entrées,Début_Solde,""), "")</f>
        <v>122043.73921811831</v>
      </c>
      <c r="G194" s="18">
        <f ca="1">IFERROR(IF(Prêt_Non_Payé*Valeurs_Entrées,Mensualité,""), "")</f>
        <v>1227.3262210603918</v>
      </c>
      <c r="H194" s="18">
        <f ca="1">IFERROR(IF(Prêt_Non_Payé*Valeurs_Entrées,Capital,""), "")</f>
        <v>820.5137569999838</v>
      </c>
      <c r="I194" s="18">
        <f ca="1">IFERROR(IF(Prêt_Non_Payé*Valeurs_Entrées,Intérêts,""), "")</f>
        <v>406.81246406040805</v>
      </c>
      <c r="J194" s="18">
        <f ca="1">IFERROR(IF(Prêt_Non_Payé*Valeurs_Entrées,Fin_Solde,""), "")</f>
        <v>121223.22546111833</v>
      </c>
    </row>
    <row r="195" spans="2:10" ht="17" customHeight="1">
      <c r="D195" s="16">
        <f ca="1">IFERROR(IF(Prêt_Non_Payé*Valeurs_Entrées,Numéro_Paiement,""), "")</f>
        <v>181</v>
      </c>
      <c r="E195" s="17">
        <f ca="1">IFERROR(IF(Prêt_Non_Payé*Valeurs_Entrées,Paiement_Date,""), "")</f>
        <v>50812</v>
      </c>
      <c r="F195" s="14">
        <f ca="1">IFERROR(IF(Prêt_Non_Payé*Valeurs_Entrées,Début_Solde,""), "")</f>
        <v>121223.22546111833</v>
      </c>
      <c r="G195" s="14">
        <f ca="1">IFERROR(IF(Prêt_Non_Payé*Valeurs_Entrées,Mensualité,""), "")</f>
        <v>1227.3262210603918</v>
      </c>
      <c r="H195" s="14">
        <f ca="1">IFERROR(IF(Prêt_Non_Payé*Valeurs_Entrées,Capital,""), "")</f>
        <v>823.24880285665051</v>
      </c>
      <c r="I195" s="14">
        <f ca="1">IFERROR(IF(Prêt_Non_Payé*Valeurs_Entrées,Intérêts,""), "")</f>
        <v>404.07741820374144</v>
      </c>
      <c r="J195" s="18">
        <f ca="1">IFERROR(IF(Prêt_Non_Payé*Valeurs_Entrées,Fin_Solde,""), "")</f>
        <v>120399.97665826167</v>
      </c>
    </row>
    <row r="196" spans="2:10" ht="17" customHeight="1">
      <c r="D196" s="16">
        <f ca="1">IFERROR(IF(Prêt_Non_Payé*Valeurs_Entrées,Numéro_Paiement,""), "")</f>
        <v>182</v>
      </c>
      <c r="E196" s="17">
        <f ca="1">IFERROR(IF(Prêt_Non_Payé*Valeurs_Entrées,Paiement_Date,""), "")</f>
        <v>50840</v>
      </c>
      <c r="F196" s="14">
        <f ca="1">IFERROR(IF(Prêt_Non_Payé*Valeurs_Entrées,Début_Solde,""), "")</f>
        <v>120399.97665826167</v>
      </c>
      <c r="G196" s="14">
        <f ca="1">IFERROR(IF(Prêt_Non_Payé*Valeurs_Entrées,Mensualité,""), "")</f>
        <v>1227.3262210603918</v>
      </c>
      <c r="H196" s="14">
        <f ca="1">IFERROR(IF(Prêt_Non_Payé*Valeurs_Entrées,Capital,""), "")</f>
        <v>825.99296553283921</v>
      </c>
      <c r="I196" s="14">
        <f ca="1">IFERROR(IF(Prêt_Non_Payé*Valeurs_Entrées,Intérêts,""), "")</f>
        <v>401.33325552755258</v>
      </c>
      <c r="J196" s="18">
        <f ca="1">IFERROR(IF(Prêt_Non_Payé*Valeurs_Entrées,Fin_Solde,""), "")</f>
        <v>119573.98369272874</v>
      </c>
    </row>
    <row r="197" spans="2:10" ht="17" customHeight="1">
      <c r="D197" s="16">
        <f ca="1">IFERROR(IF(Prêt_Non_Payé*Valeurs_Entrées,Numéro_Paiement,""), "")</f>
        <v>183</v>
      </c>
      <c r="E197" s="17">
        <f ca="1">IFERROR(IF(Prêt_Non_Payé*Valeurs_Entrées,Paiement_Date,""), "")</f>
        <v>50871</v>
      </c>
      <c r="F197" s="14">
        <f ca="1">IFERROR(IF(Prêt_Non_Payé*Valeurs_Entrées,Début_Solde,""), "")</f>
        <v>119573.98369272874</v>
      </c>
      <c r="G197" s="14">
        <f ca="1">IFERROR(IF(Prêt_Non_Payé*Valeurs_Entrées,Mensualité,""), "")</f>
        <v>1227.3262210603918</v>
      </c>
      <c r="H197" s="14">
        <f ca="1">IFERROR(IF(Prêt_Non_Payé*Valeurs_Entrées,Capital,""), "")</f>
        <v>828.74627541794871</v>
      </c>
      <c r="I197" s="14">
        <f ca="1">IFERROR(IF(Prêt_Non_Payé*Valeurs_Entrées,Intérêts,""), "")</f>
        <v>398.57994564244314</v>
      </c>
      <c r="J197" s="18">
        <f ca="1">IFERROR(IF(Prêt_Non_Payé*Valeurs_Entrées,Fin_Solde,""), "")</f>
        <v>118745.23741731077</v>
      </c>
    </row>
    <row r="198" spans="2:10" ht="17" customHeight="1">
      <c r="D198" s="16">
        <f ca="1">IFERROR(IF(Prêt_Non_Payé*Valeurs_Entrées,Numéro_Paiement,""), "")</f>
        <v>184</v>
      </c>
      <c r="E198" s="17">
        <f ca="1">IFERROR(IF(Prêt_Non_Payé*Valeurs_Entrées,Paiement_Date,""), "")</f>
        <v>50901</v>
      </c>
      <c r="F198" s="14">
        <f ca="1">IFERROR(IF(Prêt_Non_Payé*Valeurs_Entrées,Début_Solde,""), "")</f>
        <v>118745.23741731077</v>
      </c>
      <c r="G198" s="14">
        <f ca="1">IFERROR(IF(Prêt_Non_Payé*Valeurs_Entrées,Mensualité,""), "")</f>
        <v>1227.3262210603918</v>
      </c>
      <c r="H198" s="14">
        <f ca="1">IFERROR(IF(Prêt_Non_Payé*Valeurs_Entrées,Capital,""), "")</f>
        <v>831.50876300267521</v>
      </c>
      <c r="I198" s="14">
        <f ca="1">IFERROR(IF(Prêt_Non_Payé*Valeurs_Entrées,Intérêts,""), "")</f>
        <v>395.81745805771658</v>
      </c>
      <c r="J198" s="18">
        <f ca="1">IFERROR(IF(Prêt_Non_Payé*Valeurs_Entrées,Fin_Solde,""), "")</f>
        <v>117913.72865430807</v>
      </c>
    </row>
    <row r="199" spans="2:10" ht="17" customHeight="1">
      <c r="D199" s="16">
        <f ca="1">IFERROR(IF(Prêt_Non_Payé*Valeurs_Entrées,Numéro_Paiement,""), "")</f>
        <v>185</v>
      </c>
      <c r="E199" s="17">
        <f ca="1">IFERROR(IF(Prêt_Non_Payé*Valeurs_Entrées,Paiement_Date,""), "")</f>
        <v>50932</v>
      </c>
      <c r="F199" s="14">
        <f ca="1">IFERROR(IF(Prêt_Non_Payé*Valeurs_Entrées,Début_Solde,""), "")</f>
        <v>117913.72865430807</v>
      </c>
      <c r="G199" s="14">
        <f ca="1">IFERROR(IF(Prêt_Non_Payé*Valeurs_Entrées,Mensualité,""), "")</f>
        <v>1227.3262210603918</v>
      </c>
      <c r="H199" s="14">
        <f ca="1">IFERROR(IF(Prêt_Non_Payé*Valeurs_Entrées,Capital,""), "")</f>
        <v>834.28045887935082</v>
      </c>
      <c r="I199" s="14">
        <f ca="1">IFERROR(IF(Prêt_Non_Payé*Valeurs_Entrées,Intérêts,""), "")</f>
        <v>393.04576218104103</v>
      </c>
      <c r="J199" s="18">
        <f ca="1">IFERROR(IF(Prêt_Non_Payé*Valeurs_Entrées,Fin_Solde,""), "")</f>
        <v>117079.44819542876</v>
      </c>
    </row>
    <row r="200" spans="2:10" ht="17" customHeight="1">
      <c r="D200" s="16">
        <f ca="1">IFERROR(IF(Prêt_Non_Payé*Valeurs_Entrées,Numéro_Paiement,""), "")</f>
        <v>186</v>
      </c>
      <c r="E200" s="17">
        <f ca="1">IFERROR(IF(Prêt_Non_Payé*Valeurs_Entrées,Paiement_Date,""), "")</f>
        <v>50962</v>
      </c>
      <c r="F200" s="14">
        <f ca="1">IFERROR(IF(Prêt_Non_Payé*Valeurs_Entrées,Début_Solde,""), "")</f>
        <v>117079.44819542876</v>
      </c>
      <c r="G200" s="14">
        <f ca="1">IFERROR(IF(Prêt_Non_Payé*Valeurs_Entrées,Mensualité,""), "")</f>
        <v>1227.3262210603918</v>
      </c>
      <c r="H200" s="14">
        <f ca="1">IFERROR(IF(Prêt_Non_Payé*Valeurs_Entrées,Capital,""), "")</f>
        <v>837.06139374228201</v>
      </c>
      <c r="I200" s="14">
        <f ca="1">IFERROR(IF(Prêt_Non_Payé*Valeurs_Entrées,Intérêts,""), "")</f>
        <v>390.26482731810989</v>
      </c>
      <c r="J200" s="18">
        <f ca="1">IFERROR(IF(Prêt_Non_Payé*Valeurs_Entrées,Fin_Solde,""), "")</f>
        <v>116242.38680168637</v>
      </c>
    </row>
    <row r="201" spans="2:10" ht="17" customHeight="1">
      <c r="D201" s="16">
        <f ca="1">IFERROR(IF(Prêt_Non_Payé*Valeurs_Entrées,Numéro_Paiement,""), "")</f>
        <v>187</v>
      </c>
      <c r="E201" s="17">
        <f ca="1">IFERROR(IF(Prêt_Non_Payé*Valeurs_Entrées,Paiement_Date,""), "")</f>
        <v>50993</v>
      </c>
      <c r="F201" s="14">
        <f ca="1">IFERROR(IF(Prêt_Non_Payé*Valeurs_Entrées,Début_Solde,""), "")</f>
        <v>116242.38680168637</v>
      </c>
      <c r="G201" s="14">
        <f ca="1">IFERROR(IF(Prêt_Non_Payé*Valeurs_Entrées,Mensualité,""), "")</f>
        <v>1227.3262210603918</v>
      </c>
      <c r="H201" s="14">
        <f ca="1">IFERROR(IF(Prêt_Non_Payé*Valeurs_Entrées,Capital,""), "")</f>
        <v>839.85159838808954</v>
      </c>
      <c r="I201" s="14">
        <f ca="1">IFERROR(IF(Prêt_Non_Payé*Valeurs_Entrées,Intérêts,""), "")</f>
        <v>387.47462267230225</v>
      </c>
      <c r="J201" s="18">
        <f ca="1">IFERROR(IF(Prêt_Non_Payé*Valeurs_Entrées,Fin_Solde,""), "")</f>
        <v>115402.53520329826</v>
      </c>
    </row>
    <row r="202" spans="2:10" ht="17" customHeight="1">
      <c r="D202" s="16">
        <f ca="1">IFERROR(IF(Prêt_Non_Payé*Valeurs_Entrées,Numéro_Paiement,""), "")</f>
        <v>188</v>
      </c>
      <c r="E202" s="17">
        <f ca="1">IFERROR(IF(Prêt_Non_Payé*Valeurs_Entrées,Paiement_Date,""), "")</f>
        <v>51024</v>
      </c>
      <c r="F202" s="14">
        <f ca="1">IFERROR(IF(Prêt_Non_Payé*Valeurs_Entrées,Début_Solde,""), "")</f>
        <v>115402.53520329826</v>
      </c>
      <c r="G202" s="14">
        <f ca="1">IFERROR(IF(Prêt_Non_Payé*Valeurs_Entrées,Mensualité,""), "")</f>
        <v>1227.3262210603918</v>
      </c>
      <c r="H202" s="14">
        <f ca="1">IFERROR(IF(Prêt_Non_Payé*Valeurs_Entrées,Capital,""), "")</f>
        <v>842.65110371604987</v>
      </c>
      <c r="I202" s="14">
        <f ca="1">IFERROR(IF(Prêt_Non_Payé*Valeurs_Entrées,Intérêts,""), "")</f>
        <v>384.67511734434197</v>
      </c>
      <c r="J202" s="18">
        <f ca="1">IFERROR(IF(Prêt_Non_Payé*Valeurs_Entrées,Fin_Solde,""), "")</f>
        <v>114559.88409958215</v>
      </c>
    </row>
    <row r="203" spans="2:10" ht="17" customHeight="1">
      <c r="D203" s="16">
        <f ca="1">IFERROR(IF(Prêt_Non_Payé*Valeurs_Entrées,Numéro_Paiement,""), "")</f>
        <v>189</v>
      </c>
      <c r="E203" s="17">
        <f ca="1">IFERROR(IF(Prêt_Non_Payé*Valeurs_Entrées,Paiement_Date,""), "")</f>
        <v>51054</v>
      </c>
      <c r="F203" s="14">
        <f ca="1">IFERROR(IF(Prêt_Non_Payé*Valeurs_Entrées,Début_Solde,""), "")</f>
        <v>114559.88409958215</v>
      </c>
      <c r="G203" s="14">
        <f ca="1">IFERROR(IF(Prêt_Non_Payé*Valeurs_Entrées,Mensualité,""), "")</f>
        <v>1227.3262210603918</v>
      </c>
      <c r="H203" s="14">
        <f ca="1">IFERROR(IF(Prêt_Non_Payé*Valeurs_Entrées,Capital,""), "")</f>
        <v>845.45994072843678</v>
      </c>
      <c r="I203" s="14">
        <f ca="1">IFERROR(IF(Prêt_Non_Payé*Valeurs_Entrées,Intérêts,""), "")</f>
        <v>381.86628033195512</v>
      </c>
      <c r="J203" s="18">
        <f ca="1">IFERROR(IF(Prêt_Non_Payé*Valeurs_Entrées,Fin_Solde,""), "")</f>
        <v>113714.42415885377</v>
      </c>
    </row>
    <row r="204" spans="2:10" ht="17" customHeight="1">
      <c r="D204" s="16">
        <f ca="1">IFERROR(IF(Prêt_Non_Payé*Valeurs_Entrées,Numéro_Paiement,""), "")</f>
        <v>190</v>
      </c>
      <c r="E204" s="17">
        <f ca="1">IFERROR(IF(Prêt_Non_Payé*Valeurs_Entrées,Paiement_Date,""), "")</f>
        <v>51085</v>
      </c>
      <c r="F204" s="14">
        <f ca="1">IFERROR(IF(Prêt_Non_Payé*Valeurs_Entrées,Début_Solde,""), "")</f>
        <v>113714.42415885377</v>
      </c>
      <c r="G204" s="14">
        <f ca="1">IFERROR(IF(Prêt_Non_Payé*Valeurs_Entrées,Mensualité,""), "")</f>
        <v>1227.3262210603918</v>
      </c>
      <c r="H204" s="14">
        <f ca="1">IFERROR(IF(Prêt_Non_Payé*Valeurs_Entrées,Capital,""), "")</f>
        <v>848.27814053086479</v>
      </c>
      <c r="I204" s="14">
        <f ca="1">IFERROR(IF(Prêt_Non_Payé*Valeurs_Entrées,Intérêts,""), "")</f>
        <v>379.048080529527</v>
      </c>
      <c r="J204" s="18">
        <f ca="1">IFERROR(IF(Prêt_Non_Payé*Valeurs_Entrées,Fin_Solde,""), "")</f>
        <v>112866.14601832285</v>
      </c>
    </row>
    <row r="205" spans="2:10" ht="17" customHeight="1">
      <c r="D205" s="16">
        <f ca="1">IFERROR(IF(Prêt_Non_Payé*Valeurs_Entrées,Numéro_Paiement,""), "")</f>
        <v>191</v>
      </c>
      <c r="E205" s="17">
        <f ca="1">IFERROR(IF(Prêt_Non_Payé*Valeurs_Entrées,Paiement_Date,""), "")</f>
        <v>51115</v>
      </c>
      <c r="F205" s="14">
        <f ca="1">IFERROR(IF(Prêt_Non_Payé*Valeurs_Entrées,Début_Solde,""), "")</f>
        <v>112866.14601832285</v>
      </c>
      <c r="G205" s="14">
        <f ca="1">IFERROR(IF(Prêt_Non_Payé*Valeurs_Entrées,Mensualité,""), "")</f>
        <v>1227.3262210603918</v>
      </c>
      <c r="H205" s="14">
        <f ca="1">IFERROR(IF(Prêt_Non_Payé*Valeurs_Entrées,Capital,""), "")</f>
        <v>851.10573433263448</v>
      </c>
      <c r="I205" s="14">
        <f ca="1">IFERROR(IF(Prêt_Non_Payé*Valeurs_Entrées,Intérêts,""), "")</f>
        <v>376.22048672775747</v>
      </c>
      <c r="J205" s="18">
        <f ca="1">IFERROR(IF(Prêt_Non_Payé*Valeurs_Entrées,Fin_Solde,""), "")</f>
        <v>112015.04028399015</v>
      </c>
    </row>
    <row r="206" spans="2:10" ht="17" customHeight="1">
      <c r="B206" s="28">
        <v>16</v>
      </c>
      <c r="D206" s="19">
        <f ca="1">IFERROR(IF(Prêt_Non_Payé*Valeurs_Entrées,Numéro_Paiement,""), "")</f>
        <v>192</v>
      </c>
      <c r="E206" s="27">
        <f ca="1">IFERROR(IF(Prêt_Non_Payé*Valeurs_Entrées,Paiement_Date,""), "")</f>
        <v>51146</v>
      </c>
      <c r="F206" s="18">
        <f ca="1">IFERROR(IF(Prêt_Non_Payé*Valeurs_Entrées,Début_Solde,""), "")</f>
        <v>112015.04028399015</v>
      </c>
      <c r="G206" s="18">
        <f ca="1">IFERROR(IF(Prêt_Non_Payé*Valeurs_Entrées,Mensualité,""), "")</f>
        <v>1227.3262210603918</v>
      </c>
      <c r="H206" s="18">
        <f ca="1">IFERROR(IF(Prêt_Non_Payé*Valeurs_Entrées,Capital,""), "")</f>
        <v>853.9427534470766</v>
      </c>
      <c r="I206" s="18">
        <f ca="1">IFERROR(IF(Prêt_Non_Payé*Valeurs_Entrées,Intérêts,""), "")</f>
        <v>373.38346761331536</v>
      </c>
      <c r="J206" s="18">
        <f ca="1">IFERROR(IF(Prêt_Non_Payé*Valeurs_Entrées,Fin_Solde,""), "")</f>
        <v>111161.09753054305</v>
      </c>
    </row>
    <row r="207" spans="2:10" ht="17" customHeight="1">
      <c r="D207" s="16">
        <f ca="1">IFERROR(IF(Prêt_Non_Payé*Valeurs_Entrées,Numéro_Paiement,""), "")</f>
        <v>193</v>
      </c>
      <c r="E207" s="17">
        <f ca="1">IFERROR(IF(Prêt_Non_Payé*Valeurs_Entrées,Paiement_Date,""), "")</f>
        <v>51177</v>
      </c>
      <c r="F207" s="14">
        <f ca="1">IFERROR(IF(Prêt_Non_Payé*Valeurs_Entrées,Début_Solde,""), "")</f>
        <v>111161.09753054305</v>
      </c>
      <c r="G207" s="14">
        <f ca="1">IFERROR(IF(Prêt_Non_Payé*Valeurs_Entrées,Mensualité,""), "")</f>
        <v>1227.3262210603918</v>
      </c>
      <c r="H207" s="14">
        <f ca="1">IFERROR(IF(Prêt_Non_Payé*Valeurs_Entrées,Capital,""), "")</f>
        <v>856.78922929190003</v>
      </c>
      <c r="I207" s="14">
        <f ca="1">IFERROR(IF(Prêt_Non_Payé*Valeurs_Entrées,Intérêts,""), "")</f>
        <v>370.53699176849176</v>
      </c>
      <c r="J207" s="18">
        <f ca="1">IFERROR(IF(Prêt_Non_Payé*Valeurs_Entrées,Fin_Solde,""), "")</f>
        <v>110304.30830125109</v>
      </c>
    </row>
    <row r="208" spans="2:10" ht="17" customHeight="1">
      <c r="D208" s="16">
        <f ca="1">IFERROR(IF(Prêt_Non_Payé*Valeurs_Entrées,Numéro_Paiement,""), "")</f>
        <v>194</v>
      </c>
      <c r="E208" s="17">
        <f ca="1">IFERROR(IF(Prêt_Non_Payé*Valeurs_Entrées,Paiement_Date,""), "")</f>
        <v>51206</v>
      </c>
      <c r="F208" s="14">
        <f ca="1">IFERROR(IF(Prêt_Non_Payé*Valeurs_Entrées,Début_Solde,""), "")</f>
        <v>110304.30830125109</v>
      </c>
      <c r="G208" s="14">
        <f ca="1">IFERROR(IF(Prêt_Non_Payé*Valeurs_Entrées,Mensualité,""), "")</f>
        <v>1227.3262210603918</v>
      </c>
      <c r="H208" s="14">
        <f ca="1">IFERROR(IF(Prêt_Non_Payé*Valeurs_Entrées,Capital,""), "")</f>
        <v>859.64519338953971</v>
      </c>
      <c r="I208" s="14">
        <f ca="1">IFERROR(IF(Prêt_Non_Payé*Valeurs_Entrées,Intérêts,""), "")</f>
        <v>367.68102767085207</v>
      </c>
      <c r="J208" s="18">
        <f ca="1">IFERROR(IF(Prêt_Non_Payé*Valeurs_Entrées,Fin_Solde,""), "")</f>
        <v>109444.66310786153</v>
      </c>
    </row>
    <row r="209" spans="2:10" ht="17" customHeight="1">
      <c r="D209" s="16">
        <f ca="1">IFERROR(IF(Prêt_Non_Payé*Valeurs_Entrées,Numéro_Paiement,""), "")</f>
        <v>195</v>
      </c>
      <c r="E209" s="17">
        <f ca="1">IFERROR(IF(Prêt_Non_Payé*Valeurs_Entrées,Paiement_Date,""), "")</f>
        <v>51237</v>
      </c>
      <c r="F209" s="14">
        <f ca="1">IFERROR(IF(Prêt_Non_Payé*Valeurs_Entrées,Début_Solde,""), "")</f>
        <v>109444.66310786153</v>
      </c>
      <c r="G209" s="14">
        <f ca="1">IFERROR(IF(Prêt_Non_Payé*Valeurs_Entrées,Mensualité,""), "")</f>
        <v>1227.3262210603918</v>
      </c>
      <c r="H209" s="14">
        <f ca="1">IFERROR(IF(Prêt_Non_Payé*Valeurs_Entrées,Capital,""), "")</f>
        <v>862.51067736750497</v>
      </c>
      <c r="I209" s="14">
        <f ca="1">IFERROR(IF(Prêt_Non_Payé*Valeurs_Entrées,Intérêts,""), "")</f>
        <v>364.81554369288699</v>
      </c>
      <c r="J209" s="18">
        <f ca="1">IFERROR(IF(Prêt_Non_Payé*Valeurs_Entrées,Fin_Solde,""), "")</f>
        <v>108582.15243049391</v>
      </c>
    </row>
    <row r="210" spans="2:10" ht="17" customHeight="1">
      <c r="D210" s="16">
        <f ca="1">IFERROR(IF(Prêt_Non_Payé*Valeurs_Entrées,Numéro_Paiement,""), "")</f>
        <v>196</v>
      </c>
      <c r="E210" s="17">
        <f ca="1">IFERROR(IF(Prêt_Non_Payé*Valeurs_Entrées,Paiement_Date,""), "")</f>
        <v>51267</v>
      </c>
      <c r="F210" s="14">
        <f ca="1">IFERROR(IF(Prêt_Non_Payé*Valeurs_Entrées,Début_Solde,""), "")</f>
        <v>108582.15243049391</v>
      </c>
      <c r="G210" s="14">
        <f ca="1">IFERROR(IF(Prêt_Non_Payé*Valeurs_Entrées,Mensualité,""), "")</f>
        <v>1227.3262210603918</v>
      </c>
      <c r="H210" s="14">
        <f ca="1">IFERROR(IF(Prêt_Non_Payé*Valeurs_Entrées,Capital,""), "")</f>
        <v>865.38571295872998</v>
      </c>
      <c r="I210" s="14">
        <f ca="1">IFERROR(IF(Prêt_Non_Payé*Valeurs_Entrées,Intérêts,""), "")</f>
        <v>361.94050810166198</v>
      </c>
      <c r="J210" s="18">
        <f ca="1">IFERROR(IF(Prêt_Non_Payé*Valeurs_Entrées,Fin_Solde,""), "")</f>
        <v>107716.76671753521</v>
      </c>
    </row>
    <row r="211" spans="2:10" ht="17" customHeight="1">
      <c r="D211" s="16">
        <f ca="1">IFERROR(IF(Prêt_Non_Payé*Valeurs_Entrées,Numéro_Paiement,""), "")</f>
        <v>197</v>
      </c>
      <c r="E211" s="17">
        <f ca="1">IFERROR(IF(Prêt_Non_Payé*Valeurs_Entrées,Paiement_Date,""), "")</f>
        <v>51298</v>
      </c>
      <c r="F211" s="14">
        <f ca="1">IFERROR(IF(Prêt_Non_Payé*Valeurs_Entrées,Début_Solde,""), "")</f>
        <v>107716.76671753521</v>
      </c>
      <c r="G211" s="14">
        <f ca="1">IFERROR(IF(Prêt_Non_Payé*Valeurs_Entrées,Mensualité,""), "")</f>
        <v>1227.3262210603918</v>
      </c>
      <c r="H211" s="14">
        <f ca="1">IFERROR(IF(Prêt_Non_Payé*Valeurs_Entrées,Capital,""), "")</f>
        <v>868.27033200192557</v>
      </c>
      <c r="I211" s="14">
        <f ca="1">IFERROR(IF(Prêt_Non_Payé*Valeurs_Entrées,Intérêts,""), "")</f>
        <v>359.05588905846622</v>
      </c>
      <c r="J211" s="18">
        <f ca="1">IFERROR(IF(Prêt_Non_Payé*Valeurs_Entrées,Fin_Solde,""), "")</f>
        <v>106848.49638553325</v>
      </c>
    </row>
    <row r="212" spans="2:10" ht="17" customHeight="1">
      <c r="D212" s="16">
        <f ca="1">IFERROR(IF(Prêt_Non_Payé*Valeurs_Entrées,Numéro_Paiement,""), "")</f>
        <v>198</v>
      </c>
      <c r="E212" s="17">
        <f ca="1">IFERROR(IF(Prêt_Non_Payé*Valeurs_Entrées,Paiement_Date,""), "")</f>
        <v>51328</v>
      </c>
      <c r="F212" s="14">
        <f ca="1">IFERROR(IF(Prêt_Non_Payé*Valeurs_Entrées,Début_Solde,""), "")</f>
        <v>106848.49638553325</v>
      </c>
      <c r="G212" s="14">
        <f ca="1">IFERROR(IF(Prêt_Non_Payé*Valeurs_Entrées,Mensualité,""), "")</f>
        <v>1227.3262210603918</v>
      </c>
      <c r="H212" s="14">
        <f ca="1">IFERROR(IF(Prêt_Non_Payé*Valeurs_Entrées,Capital,""), "")</f>
        <v>871.16456644193204</v>
      </c>
      <c r="I212" s="14">
        <f ca="1">IFERROR(IF(Prêt_Non_Payé*Valeurs_Entrées,Intérêts,""), "")</f>
        <v>356.16165461845975</v>
      </c>
      <c r="J212" s="18">
        <f ca="1">IFERROR(IF(Prêt_Non_Payé*Valeurs_Entrées,Fin_Solde,""), "")</f>
        <v>105977.33181909123</v>
      </c>
    </row>
    <row r="213" spans="2:10" ht="17" customHeight="1">
      <c r="D213" s="16">
        <f ca="1">IFERROR(IF(Prêt_Non_Payé*Valeurs_Entrées,Numéro_Paiement,""), "")</f>
        <v>199</v>
      </c>
      <c r="E213" s="17">
        <f ca="1">IFERROR(IF(Prêt_Non_Payé*Valeurs_Entrées,Paiement_Date,""), "")</f>
        <v>51359</v>
      </c>
      <c r="F213" s="14">
        <f ca="1">IFERROR(IF(Prêt_Non_Payé*Valeurs_Entrées,Début_Solde,""), "")</f>
        <v>105977.33181909123</v>
      </c>
      <c r="G213" s="14">
        <f ca="1">IFERROR(IF(Prêt_Non_Payé*Valeurs_Entrées,Mensualité,""), "")</f>
        <v>1227.3262210603918</v>
      </c>
      <c r="H213" s="14">
        <f ca="1">IFERROR(IF(Prêt_Non_Payé*Valeurs_Entrées,Capital,""), "")</f>
        <v>874.06844833007187</v>
      </c>
      <c r="I213" s="14">
        <f ca="1">IFERROR(IF(Prêt_Non_Payé*Valeurs_Entrées,Intérêts,""), "")</f>
        <v>353.25777273032003</v>
      </c>
      <c r="J213" s="18">
        <f ca="1">IFERROR(IF(Prêt_Non_Payé*Valeurs_Entrées,Fin_Solde,""), "")</f>
        <v>105103.26337076107</v>
      </c>
    </row>
    <row r="214" spans="2:10" ht="17" customHeight="1">
      <c r="D214" s="16">
        <f ca="1">IFERROR(IF(Prêt_Non_Payé*Valeurs_Entrées,Numéro_Paiement,""), "")</f>
        <v>200</v>
      </c>
      <c r="E214" s="17">
        <f ca="1">IFERROR(IF(Prêt_Non_Payé*Valeurs_Entrées,Paiement_Date,""), "")</f>
        <v>51390</v>
      </c>
      <c r="F214" s="14">
        <f ca="1">IFERROR(IF(Prêt_Non_Payé*Valeurs_Entrées,Début_Solde,""), "")</f>
        <v>105103.26337076107</v>
      </c>
      <c r="G214" s="14">
        <f ca="1">IFERROR(IF(Prêt_Non_Payé*Valeurs_Entrées,Mensualité,""), "")</f>
        <v>1227.3262210603918</v>
      </c>
      <c r="H214" s="14">
        <f ca="1">IFERROR(IF(Prêt_Non_Payé*Valeurs_Entrées,Capital,""), "")</f>
        <v>876.98200982450555</v>
      </c>
      <c r="I214" s="14">
        <f ca="1">IFERROR(IF(Prêt_Non_Payé*Valeurs_Entrées,Intérêts,""), "")</f>
        <v>350.34421123588641</v>
      </c>
      <c r="J214" s="18">
        <f ca="1">IFERROR(IF(Prêt_Non_Payé*Valeurs_Entrées,Fin_Solde,""), "")</f>
        <v>104226.28136093658</v>
      </c>
    </row>
    <row r="215" spans="2:10" ht="17" customHeight="1">
      <c r="D215" s="16">
        <f ca="1">IFERROR(IF(Prêt_Non_Payé*Valeurs_Entrées,Numéro_Paiement,""), "")</f>
        <v>201</v>
      </c>
      <c r="E215" s="17">
        <f ca="1">IFERROR(IF(Prêt_Non_Payé*Valeurs_Entrées,Paiement_Date,""), "")</f>
        <v>51420</v>
      </c>
      <c r="F215" s="14">
        <f ca="1">IFERROR(IF(Prêt_Non_Payé*Valeurs_Entrées,Début_Solde,""), "")</f>
        <v>104226.28136093658</v>
      </c>
      <c r="G215" s="14">
        <f ca="1">IFERROR(IF(Prêt_Non_Payé*Valeurs_Entrées,Mensualité,""), "")</f>
        <v>1227.3262210603918</v>
      </c>
      <c r="H215" s="14">
        <f ca="1">IFERROR(IF(Prêt_Non_Payé*Valeurs_Entrées,Capital,""), "")</f>
        <v>879.90528319058717</v>
      </c>
      <c r="I215" s="14">
        <f ca="1">IFERROR(IF(Prêt_Non_Payé*Valeurs_Entrées,Intérêts,""), "")</f>
        <v>347.42093786980473</v>
      </c>
      <c r="J215" s="18">
        <f ca="1">IFERROR(IF(Prêt_Non_Payé*Valeurs_Entrées,Fin_Solde,""), "")</f>
        <v>103346.37607774604</v>
      </c>
    </row>
    <row r="216" spans="2:10" ht="17" customHeight="1">
      <c r="D216" s="16">
        <f ca="1">IFERROR(IF(Prêt_Non_Payé*Valeurs_Entrées,Numéro_Paiement,""), "")</f>
        <v>202</v>
      </c>
      <c r="E216" s="17">
        <f ca="1">IFERROR(IF(Prêt_Non_Payé*Valeurs_Entrées,Paiement_Date,""), "")</f>
        <v>51451</v>
      </c>
      <c r="F216" s="14">
        <f ca="1">IFERROR(IF(Prêt_Non_Payé*Valeurs_Entrées,Début_Solde,""), "")</f>
        <v>103346.37607774604</v>
      </c>
      <c r="G216" s="14">
        <f ca="1">IFERROR(IF(Prêt_Non_Payé*Valeurs_Entrées,Mensualité,""), "")</f>
        <v>1227.3262210603918</v>
      </c>
      <c r="H216" s="14">
        <f ca="1">IFERROR(IF(Prêt_Non_Payé*Valeurs_Entrées,Capital,""), "")</f>
        <v>882.83830080122243</v>
      </c>
      <c r="I216" s="14">
        <f ca="1">IFERROR(IF(Prêt_Non_Payé*Valeurs_Entrées,Intérêts,""), "")</f>
        <v>344.48792025916947</v>
      </c>
      <c r="J216" s="18">
        <f ca="1">IFERROR(IF(Prêt_Non_Payé*Valeurs_Entrées,Fin_Solde,""), "")</f>
        <v>102463.53777694469</v>
      </c>
    </row>
    <row r="217" spans="2:10" ht="17" customHeight="1">
      <c r="D217" s="16">
        <f ca="1">IFERROR(IF(Prêt_Non_Payé*Valeurs_Entrées,Numéro_Paiement,""), "")</f>
        <v>203</v>
      </c>
      <c r="E217" s="17">
        <f ca="1">IFERROR(IF(Prêt_Non_Payé*Valeurs_Entrées,Paiement_Date,""), "")</f>
        <v>51481</v>
      </c>
      <c r="F217" s="14">
        <f ca="1">IFERROR(IF(Prêt_Non_Payé*Valeurs_Entrées,Début_Solde,""), "")</f>
        <v>102463.53777694469</v>
      </c>
      <c r="G217" s="14">
        <f ca="1">IFERROR(IF(Prêt_Non_Payé*Valeurs_Entrées,Mensualité,""), "")</f>
        <v>1227.3262210603918</v>
      </c>
      <c r="H217" s="14">
        <f ca="1">IFERROR(IF(Prêt_Non_Payé*Valeurs_Entrées,Capital,""), "")</f>
        <v>885.78109513722654</v>
      </c>
      <c r="I217" s="14">
        <f ca="1">IFERROR(IF(Prêt_Non_Payé*Valeurs_Entrées,Intérêts,""), "")</f>
        <v>341.54512592316541</v>
      </c>
      <c r="J217" s="18">
        <f ca="1">IFERROR(IF(Prêt_Non_Payé*Valeurs_Entrées,Fin_Solde,""), "")</f>
        <v>101577.7566818074</v>
      </c>
    </row>
    <row r="218" spans="2:10" ht="17" customHeight="1">
      <c r="B218" s="28">
        <v>17</v>
      </c>
      <c r="D218" s="19">
        <f ca="1">IFERROR(IF(Prêt_Non_Payé*Valeurs_Entrées,Numéro_Paiement,""), "")</f>
        <v>204</v>
      </c>
      <c r="E218" s="27">
        <f ca="1">IFERROR(IF(Prêt_Non_Payé*Valeurs_Entrées,Paiement_Date,""), "")</f>
        <v>51512</v>
      </c>
      <c r="F218" s="18">
        <f ca="1">IFERROR(IF(Prêt_Non_Payé*Valeurs_Entrées,Début_Solde,""), "")</f>
        <v>101577.7566818074</v>
      </c>
      <c r="G218" s="18">
        <f ca="1">IFERROR(IF(Prêt_Non_Payé*Valeurs_Entrées,Mensualité,""), "")</f>
        <v>1227.3262210603918</v>
      </c>
      <c r="H218" s="18">
        <f ca="1">IFERROR(IF(Prêt_Non_Payé*Valeurs_Entrées,Capital,""), "")</f>
        <v>888.73369878768381</v>
      </c>
      <c r="I218" s="18">
        <f ca="1">IFERROR(IF(Prêt_Non_Payé*Valeurs_Entrées,Intérêts,""), "")</f>
        <v>338.59252227270787</v>
      </c>
      <c r="J218" s="18">
        <f ca="1">IFERROR(IF(Prêt_Non_Payé*Valeurs_Entrées,Fin_Solde,""), "")</f>
        <v>100689.02298301971</v>
      </c>
    </row>
    <row r="219" spans="2:10" ht="17" customHeight="1">
      <c r="D219" s="16">
        <f ca="1">IFERROR(IF(Prêt_Non_Payé*Valeurs_Entrées,Numéro_Paiement,""), "")</f>
        <v>205</v>
      </c>
      <c r="E219" s="17">
        <f ca="1">IFERROR(IF(Prêt_Non_Payé*Valeurs_Entrées,Paiement_Date,""), "")</f>
        <v>51543</v>
      </c>
      <c r="F219" s="14">
        <f ca="1">IFERROR(IF(Prêt_Non_Payé*Valeurs_Entrées,Début_Solde,""), "")</f>
        <v>100689.02298301971</v>
      </c>
      <c r="G219" s="14">
        <f ca="1">IFERROR(IF(Prêt_Non_Payé*Valeurs_Entrées,Mensualité,""), "")</f>
        <v>1227.3262210603918</v>
      </c>
      <c r="H219" s="14">
        <f ca="1">IFERROR(IF(Prêt_Non_Payé*Valeurs_Entrées,Capital,""), "")</f>
        <v>891.69614445030948</v>
      </c>
      <c r="I219" s="14">
        <f ca="1">IFERROR(IF(Prêt_Non_Payé*Valeurs_Entrées,Intérêts,""), "")</f>
        <v>335.63007661008237</v>
      </c>
      <c r="J219" s="18">
        <f ca="1">IFERROR(IF(Prêt_Non_Payé*Valeurs_Entrées,Fin_Solde,""), "")</f>
        <v>99797.326838569425</v>
      </c>
    </row>
    <row r="220" spans="2:10" ht="17" customHeight="1">
      <c r="D220" s="16">
        <f ca="1">IFERROR(IF(Prêt_Non_Payé*Valeurs_Entrées,Numéro_Paiement,""), "")</f>
        <v>206</v>
      </c>
      <c r="E220" s="17">
        <f ca="1">IFERROR(IF(Prêt_Non_Payé*Valeurs_Entrées,Paiement_Date,""), "")</f>
        <v>51571</v>
      </c>
      <c r="F220" s="14">
        <f ca="1">IFERROR(IF(Prêt_Non_Payé*Valeurs_Entrées,Début_Solde,""), "")</f>
        <v>99797.326838569425</v>
      </c>
      <c r="G220" s="14">
        <f ca="1">IFERROR(IF(Prêt_Non_Payé*Valeurs_Entrées,Mensualité,""), "")</f>
        <v>1227.3262210603918</v>
      </c>
      <c r="H220" s="14">
        <f ca="1">IFERROR(IF(Prêt_Non_Payé*Valeurs_Entrées,Capital,""), "")</f>
        <v>894.6684649318106</v>
      </c>
      <c r="I220" s="14">
        <f ca="1">IFERROR(IF(Prêt_Non_Payé*Valeurs_Entrées,Intérêts,""), "")</f>
        <v>332.6577561285813</v>
      </c>
      <c r="J220" s="18">
        <f ca="1">IFERROR(IF(Prêt_Non_Payé*Valeurs_Entrées,Fin_Solde,""), "")</f>
        <v>98902.658373637591</v>
      </c>
    </row>
    <row r="221" spans="2:10" ht="17" customHeight="1">
      <c r="D221" s="16">
        <f ca="1">IFERROR(IF(Prêt_Non_Payé*Valeurs_Entrées,Numéro_Paiement,""), "")</f>
        <v>207</v>
      </c>
      <c r="E221" s="17">
        <f ca="1">IFERROR(IF(Prêt_Non_Payé*Valeurs_Entrées,Paiement_Date,""), "")</f>
        <v>51602</v>
      </c>
      <c r="F221" s="14">
        <f ca="1">IFERROR(IF(Prêt_Non_Payé*Valeurs_Entrées,Début_Solde,""), "")</f>
        <v>98902.658373637591</v>
      </c>
      <c r="G221" s="14">
        <f ca="1">IFERROR(IF(Prêt_Non_Payé*Valeurs_Entrées,Mensualité,""), "")</f>
        <v>1227.3262210603918</v>
      </c>
      <c r="H221" s="14">
        <f ca="1">IFERROR(IF(Prêt_Non_Payé*Valeurs_Entrées,Capital,""), "")</f>
        <v>897.65069314825007</v>
      </c>
      <c r="I221" s="14">
        <f ca="1">IFERROR(IF(Prêt_Non_Payé*Valeurs_Entrées,Intérêts,""), "")</f>
        <v>329.67552791214194</v>
      </c>
      <c r="J221" s="18">
        <f ca="1">IFERROR(IF(Prêt_Non_Payé*Valeurs_Entrées,Fin_Solde,""), "")</f>
        <v>98005.007680489158</v>
      </c>
    </row>
    <row r="222" spans="2:10" ht="17" customHeight="1">
      <c r="D222" s="16">
        <f ca="1">IFERROR(IF(Prêt_Non_Payé*Valeurs_Entrées,Numéro_Paiement,""), "")</f>
        <v>208</v>
      </c>
      <c r="E222" s="17">
        <f ca="1">IFERROR(IF(Prêt_Non_Payé*Valeurs_Entrées,Paiement_Date,""), "")</f>
        <v>51632</v>
      </c>
      <c r="F222" s="14">
        <f ca="1">IFERROR(IF(Prêt_Non_Payé*Valeurs_Entrées,Début_Solde,""), "")</f>
        <v>98005.007680489158</v>
      </c>
      <c r="G222" s="14">
        <f ca="1">IFERROR(IF(Prêt_Non_Payé*Valeurs_Entrées,Mensualité,""), "")</f>
        <v>1227.3262210603918</v>
      </c>
      <c r="H222" s="14">
        <f ca="1">IFERROR(IF(Prêt_Non_Payé*Valeurs_Entrées,Capital,""), "")</f>
        <v>900.64286212541072</v>
      </c>
      <c r="I222" s="14">
        <f ca="1">IFERROR(IF(Prêt_Non_Payé*Valeurs_Entrées,Intérêts,""), "")</f>
        <v>326.68335893498107</v>
      </c>
      <c r="J222" s="18">
        <f ca="1">IFERROR(IF(Prêt_Non_Payé*Valeurs_Entrées,Fin_Solde,""), "")</f>
        <v>97104.3648183638</v>
      </c>
    </row>
    <row r="223" spans="2:10" ht="17" customHeight="1">
      <c r="D223" s="16">
        <f ca="1">IFERROR(IF(Prêt_Non_Payé*Valeurs_Entrées,Numéro_Paiement,""), "")</f>
        <v>209</v>
      </c>
      <c r="E223" s="17">
        <f ca="1">IFERROR(IF(Prêt_Non_Payé*Valeurs_Entrées,Paiement_Date,""), "")</f>
        <v>51663</v>
      </c>
      <c r="F223" s="14">
        <f ca="1">IFERROR(IF(Prêt_Non_Payé*Valeurs_Entrées,Début_Solde,""), "")</f>
        <v>97104.3648183638</v>
      </c>
      <c r="G223" s="14">
        <f ca="1">IFERROR(IF(Prêt_Non_Payé*Valeurs_Entrées,Mensualité,""), "")</f>
        <v>1227.3262210603918</v>
      </c>
      <c r="H223" s="14">
        <f ca="1">IFERROR(IF(Prêt_Non_Payé*Valeurs_Entrées,Capital,""), "")</f>
        <v>903.6450049991621</v>
      </c>
      <c r="I223" s="14">
        <f ca="1">IFERROR(IF(Prêt_Non_Payé*Valeurs_Entrées,Intérêts,""), "")</f>
        <v>323.68121606122969</v>
      </c>
      <c r="J223" s="18">
        <f ca="1">IFERROR(IF(Prêt_Non_Payé*Valeurs_Entrées,Fin_Solde,""), "")</f>
        <v>96200.7198133645</v>
      </c>
    </row>
    <row r="224" spans="2:10" ht="17" customHeight="1">
      <c r="D224" s="16">
        <f ca="1">IFERROR(IF(Prêt_Non_Payé*Valeurs_Entrées,Numéro_Paiement,""), "")</f>
        <v>210</v>
      </c>
      <c r="E224" s="17">
        <f ca="1">IFERROR(IF(Prêt_Non_Payé*Valeurs_Entrées,Paiement_Date,""), "")</f>
        <v>51693</v>
      </c>
      <c r="F224" s="14">
        <f ca="1">IFERROR(IF(Prêt_Non_Payé*Valeurs_Entrées,Début_Solde,""), "")</f>
        <v>96200.7198133645</v>
      </c>
      <c r="G224" s="14">
        <f ca="1">IFERROR(IF(Prêt_Non_Payé*Valeurs_Entrées,Mensualité,""), "")</f>
        <v>1227.3262210603918</v>
      </c>
      <c r="H224" s="14">
        <f ca="1">IFERROR(IF(Prêt_Non_Payé*Valeurs_Entrées,Capital,""), "")</f>
        <v>906.65715501582611</v>
      </c>
      <c r="I224" s="14">
        <f ca="1">IFERROR(IF(Prêt_Non_Payé*Valeurs_Entrées,Intérêts,""), "")</f>
        <v>320.6690660445658</v>
      </c>
      <c r="J224" s="18">
        <f ca="1">IFERROR(IF(Prêt_Non_Payé*Valeurs_Entrées,Fin_Solde,""), "")</f>
        <v>95294.062658348645</v>
      </c>
    </row>
    <row r="225" spans="2:10" ht="17" customHeight="1">
      <c r="D225" s="16">
        <f ca="1">IFERROR(IF(Prêt_Non_Payé*Valeurs_Entrées,Numéro_Paiement,""), "")</f>
        <v>211</v>
      </c>
      <c r="E225" s="17">
        <f ca="1">IFERROR(IF(Prêt_Non_Payé*Valeurs_Entrées,Paiement_Date,""), "")</f>
        <v>51724</v>
      </c>
      <c r="F225" s="14">
        <f ca="1">IFERROR(IF(Prêt_Non_Payé*Valeurs_Entrées,Début_Solde,""), "")</f>
        <v>95294.062658348645</v>
      </c>
      <c r="G225" s="14">
        <f ca="1">IFERROR(IF(Prêt_Non_Payé*Valeurs_Entrées,Mensualité,""), "")</f>
        <v>1227.3262210603918</v>
      </c>
      <c r="H225" s="14">
        <f ca="1">IFERROR(IF(Prêt_Non_Payé*Valeurs_Entrées,Capital,""), "")</f>
        <v>909.67934553254543</v>
      </c>
      <c r="I225" s="14">
        <f ca="1">IFERROR(IF(Prêt_Non_Payé*Valeurs_Entrées,Intérêts,""), "")</f>
        <v>317.64687552784642</v>
      </c>
      <c r="J225" s="18">
        <f ca="1">IFERROR(IF(Prêt_Non_Payé*Valeurs_Entrées,Fin_Solde,""), "")</f>
        <v>94384.383312816033</v>
      </c>
    </row>
    <row r="226" spans="2:10" ht="17" customHeight="1">
      <c r="D226" s="16">
        <f ca="1">IFERROR(IF(Prêt_Non_Payé*Valeurs_Entrées,Numéro_Paiement,""), "")</f>
        <v>212</v>
      </c>
      <c r="E226" s="17">
        <f ca="1">IFERROR(IF(Prêt_Non_Payé*Valeurs_Entrées,Paiement_Date,""), "")</f>
        <v>51755</v>
      </c>
      <c r="F226" s="14">
        <f ca="1">IFERROR(IF(Prêt_Non_Payé*Valeurs_Entrées,Début_Solde,""), "")</f>
        <v>94384.383312816033</v>
      </c>
      <c r="G226" s="14">
        <f ca="1">IFERROR(IF(Prêt_Non_Payé*Valeurs_Entrées,Mensualité,""), "")</f>
        <v>1227.3262210603918</v>
      </c>
      <c r="H226" s="14">
        <f ca="1">IFERROR(IF(Prêt_Non_Payé*Valeurs_Entrées,Capital,""), "")</f>
        <v>912.71161001765404</v>
      </c>
      <c r="I226" s="14">
        <f ca="1">IFERROR(IF(Prêt_Non_Payé*Valeurs_Entrées,Intérêts,""), "")</f>
        <v>314.61461104273792</v>
      </c>
      <c r="J226" s="18">
        <f ca="1">IFERROR(IF(Prêt_Non_Payé*Valeurs_Entrées,Fin_Solde,""), "")</f>
        <v>93471.671702798398</v>
      </c>
    </row>
    <row r="227" spans="2:10" ht="17" customHeight="1">
      <c r="D227" s="16">
        <f ca="1">IFERROR(IF(Prêt_Non_Payé*Valeurs_Entrées,Numéro_Paiement,""), "")</f>
        <v>213</v>
      </c>
      <c r="E227" s="17">
        <f ca="1">IFERROR(IF(Prêt_Non_Payé*Valeurs_Entrées,Paiement_Date,""), "")</f>
        <v>51785</v>
      </c>
      <c r="F227" s="14">
        <f ca="1">IFERROR(IF(Prêt_Non_Payé*Valeurs_Entrées,Début_Solde,""), "")</f>
        <v>93471.671702798398</v>
      </c>
      <c r="G227" s="14">
        <f ca="1">IFERROR(IF(Prêt_Non_Payé*Valeurs_Entrées,Mensualité,""), "")</f>
        <v>1227.3262210603918</v>
      </c>
      <c r="H227" s="14">
        <f ca="1">IFERROR(IF(Prêt_Non_Payé*Valeurs_Entrées,Capital,""), "")</f>
        <v>915.75398205104602</v>
      </c>
      <c r="I227" s="14">
        <f ca="1">IFERROR(IF(Prêt_Non_Payé*Valeurs_Entrées,Intérêts,""), "")</f>
        <v>311.57223900934576</v>
      </c>
      <c r="J227" s="18">
        <f ca="1">IFERROR(IF(Prêt_Non_Payé*Valeurs_Entrées,Fin_Solde,""), "")</f>
        <v>92555.917720747297</v>
      </c>
    </row>
    <row r="228" spans="2:10" ht="17" customHeight="1">
      <c r="D228" s="16">
        <f ca="1">IFERROR(IF(Prêt_Non_Payé*Valeurs_Entrées,Numéro_Paiement,""), "")</f>
        <v>214</v>
      </c>
      <c r="E228" s="17">
        <f ca="1">IFERROR(IF(Prêt_Non_Payé*Valeurs_Entrées,Paiement_Date,""), "")</f>
        <v>51816</v>
      </c>
      <c r="F228" s="14">
        <f ca="1">IFERROR(IF(Prêt_Non_Payé*Valeurs_Entrées,Début_Solde,""), "")</f>
        <v>92555.917720747297</v>
      </c>
      <c r="G228" s="14">
        <f ca="1">IFERROR(IF(Prêt_Non_Payé*Valeurs_Entrées,Mensualité,""), "")</f>
        <v>1227.3262210603918</v>
      </c>
      <c r="H228" s="14">
        <f ca="1">IFERROR(IF(Prêt_Non_Payé*Valeurs_Entrées,Capital,""), "")</f>
        <v>918.8064953245497</v>
      </c>
      <c r="I228" s="14">
        <f ca="1">IFERROR(IF(Prêt_Non_Payé*Valeurs_Entrées,Intérêts,""), "")</f>
        <v>308.51972573584226</v>
      </c>
      <c r="J228" s="18">
        <f ca="1">IFERROR(IF(Prêt_Non_Payé*Valeurs_Entrées,Fin_Solde,""), "")</f>
        <v>91637.111225422763</v>
      </c>
    </row>
    <row r="229" spans="2:10" ht="17" customHeight="1">
      <c r="D229" s="16">
        <f ca="1">IFERROR(IF(Prêt_Non_Payé*Valeurs_Entrées,Numéro_Paiement,""), "")</f>
        <v>215</v>
      </c>
      <c r="E229" s="17">
        <f ca="1">IFERROR(IF(Prêt_Non_Payé*Valeurs_Entrées,Paiement_Date,""), "")</f>
        <v>51846</v>
      </c>
      <c r="F229" s="14">
        <f ca="1">IFERROR(IF(Prêt_Non_Payé*Valeurs_Entrées,Début_Solde,""), "")</f>
        <v>91637.111225422763</v>
      </c>
      <c r="G229" s="14">
        <f ca="1">IFERROR(IF(Prêt_Non_Payé*Valeurs_Entrées,Mensualité,""), "")</f>
        <v>1227.3262210603918</v>
      </c>
      <c r="H229" s="14">
        <f ca="1">IFERROR(IF(Prêt_Non_Payé*Valeurs_Entrées,Capital,""), "")</f>
        <v>921.86918364229814</v>
      </c>
      <c r="I229" s="14">
        <f ca="1">IFERROR(IF(Prêt_Non_Payé*Valeurs_Entrées,Intérêts,""), "")</f>
        <v>305.45703741809376</v>
      </c>
      <c r="J229" s="18">
        <f ca="1">IFERROR(IF(Prêt_Non_Payé*Valeurs_Entrées,Fin_Solde,""), "")</f>
        <v>90715.242041780381</v>
      </c>
    </row>
    <row r="230" spans="2:10" ht="17" customHeight="1">
      <c r="B230" s="28">
        <v>18</v>
      </c>
      <c r="D230" s="19">
        <f ca="1">IFERROR(IF(Prêt_Non_Payé*Valeurs_Entrées,Numéro_Paiement,""), "")</f>
        <v>216</v>
      </c>
      <c r="E230" s="27">
        <f ca="1">IFERROR(IF(Prêt_Non_Payé*Valeurs_Entrées,Paiement_Date,""), "")</f>
        <v>51877</v>
      </c>
      <c r="F230" s="18">
        <f ca="1">IFERROR(IF(Prêt_Non_Payé*Valeurs_Entrées,Début_Solde,""), "")</f>
        <v>90715.242041780381</v>
      </c>
      <c r="G230" s="18">
        <f ca="1">IFERROR(IF(Prêt_Non_Payé*Valeurs_Entrées,Mensualité,""), "")</f>
        <v>1227.3262210603918</v>
      </c>
      <c r="H230" s="18">
        <f ca="1">IFERROR(IF(Prêt_Non_Payé*Valeurs_Entrées,Capital,""), "")</f>
        <v>924.94208092110568</v>
      </c>
      <c r="I230" s="18">
        <f ca="1">IFERROR(IF(Prêt_Non_Payé*Valeurs_Entrées,Intérêts,""), "")</f>
        <v>302.38414013928616</v>
      </c>
      <c r="J230" s="18">
        <f ca="1">IFERROR(IF(Prêt_Non_Payé*Valeurs_Entrées,Fin_Solde,""), "")</f>
        <v>89790.299960859236</v>
      </c>
    </row>
    <row r="231" spans="2:10" ht="17" customHeight="1">
      <c r="D231" s="16">
        <f ca="1">IFERROR(IF(Prêt_Non_Payé*Valeurs_Entrées,Numéro_Paiement,""), "")</f>
        <v>217</v>
      </c>
      <c r="E231" s="17">
        <f ca="1">IFERROR(IF(Prêt_Non_Payé*Valeurs_Entrées,Paiement_Date,""), "")</f>
        <v>51908</v>
      </c>
      <c r="F231" s="14">
        <f ca="1">IFERROR(IF(Prêt_Non_Payé*Valeurs_Entrées,Début_Solde,""), "")</f>
        <v>89790.299960859236</v>
      </c>
      <c r="G231" s="14">
        <f ca="1">IFERROR(IF(Prêt_Non_Payé*Valeurs_Entrées,Mensualité,""), "")</f>
        <v>1227.3262210603918</v>
      </c>
      <c r="H231" s="14">
        <f ca="1">IFERROR(IF(Prêt_Non_Payé*Valeurs_Entrées,Capital,""), "")</f>
        <v>928.02522119084279</v>
      </c>
      <c r="I231" s="14">
        <f ca="1">IFERROR(IF(Prêt_Non_Payé*Valeurs_Entrées,Intérêts,""), "")</f>
        <v>299.30099986954912</v>
      </c>
      <c r="J231" s="18">
        <f ca="1">IFERROR(IF(Prêt_Non_Payé*Valeurs_Entrées,Fin_Solde,""), "")</f>
        <v>88862.274739668355</v>
      </c>
    </row>
    <row r="232" spans="2:10" ht="17" customHeight="1">
      <c r="D232" s="16">
        <f ca="1">IFERROR(IF(Prêt_Non_Payé*Valeurs_Entrées,Numéro_Paiement,""), "")</f>
        <v>218</v>
      </c>
      <c r="E232" s="17">
        <f ca="1">IFERROR(IF(Prêt_Non_Payé*Valeurs_Entrées,Paiement_Date,""), "")</f>
        <v>51936</v>
      </c>
      <c r="F232" s="14">
        <f ca="1">IFERROR(IF(Prêt_Non_Payé*Valeurs_Entrées,Début_Solde,""), "")</f>
        <v>88862.274739668355</v>
      </c>
      <c r="G232" s="14">
        <f ca="1">IFERROR(IF(Prêt_Non_Payé*Valeurs_Entrées,Mensualité,""), "")</f>
        <v>1227.3262210603918</v>
      </c>
      <c r="H232" s="14">
        <f ca="1">IFERROR(IF(Prêt_Non_Payé*Valeurs_Entrées,Capital,""), "")</f>
        <v>931.11863859481218</v>
      </c>
      <c r="I232" s="14">
        <f ca="1">IFERROR(IF(Prêt_Non_Payé*Valeurs_Entrées,Intérêts,""), "")</f>
        <v>296.20758246557966</v>
      </c>
      <c r="J232" s="18">
        <f ca="1">IFERROR(IF(Prêt_Non_Payé*Valeurs_Entrées,Fin_Solde,""), "")</f>
        <v>87931.156101073546</v>
      </c>
    </row>
    <row r="233" spans="2:10" ht="17" customHeight="1">
      <c r="D233" s="16">
        <f ca="1">IFERROR(IF(Prêt_Non_Payé*Valeurs_Entrées,Numéro_Paiement,""), "")</f>
        <v>219</v>
      </c>
      <c r="E233" s="17">
        <f ca="1">IFERROR(IF(Prêt_Non_Payé*Valeurs_Entrées,Paiement_Date,""), "")</f>
        <v>51967</v>
      </c>
      <c r="F233" s="14">
        <f ca="1">IFERROR(IF(Prêt_Non_Payé*Valeurs_Entrées,Début_Solde,""), "")</f>
        <v>87931.156101073546</v>
      </c>
      <c r="G233" s="14">
        <f ca="1">IFERROR(IF(Prêt_Non_Payé*Valeurs_Entrées,Mensualité,""), "")</f>
        <v>1227.3262210603918</v>
      </c>
      <c r="H233" s="14">
        <f ca="1">IFERROR(IF(Prêt_Non_Payé*Valeurs_Entrées,Capital,""), "")</f>
        <v>934.22236739012828</v>
      </c>
      <c r="I233" s="14">
        <f ca="1">IFERROR(IF(Prêt_Non_Payé*Valeurs_Entrées,Intérêts,""), "")</f>
        <v>293.10385367026356</v>
      </c>
      <c r="J233" s="18">
        <f ca="1">IFERROR(IF(Prêt_Non_Payé*Valeurs_Entrées,Fin_Solde,""), "")</f>
        <v>86996.933733683371</v>
      </c>
    </row>
    <row r="234" spans="2:10" ht="17" customHeight="1">
      <c r="D234" s="16">
        <f ca="1">IFERROR(IF(Prêt_Non_Payé*Valeurs_Entrées,Numéro_Paiement,""), "")</f>
        <v>220</v>
      </c>
      <c r="E234" s="17">
        <f ca="1">IFERROR(IF(Prêt_Non_Payé*Valeurs_Entrées,Paiement_Date,""), "")</f>
        <v>51997</v>
      </c>
      <c r="F234" s="14">
        <f ca="1">IFERROR(IF(Prêt_Non_Payé*Valeurs_Entrées,Début_Solde,""), "")</f>
        <v>86996.933733683371</v>
      </c>
      <c r="G234" s="14">
        <f ca="1">IFERROR(IF(Prêt_Non_Payé*Valeurs_Entrées,Mensualité,""), "")</f>
        <v>1227.3262210603918</v>
      </c>
      <c r="H234" s="14">
        <f ca="1">IFERROR(IF(Prêt_Non_Payé*Valeurs_Entrées,Capital,""), "")</f>
        <v>937.33644194809528</v>
      </c>
      <c r="I234" s="14">
        <f ca="1">IFERROR(IF(Prêt_Non_Payé*Valeurs_Entrées,Intérêts,""), "")</f>
        <v>289.9897791122965</v>
      </c>
      <c r="J234" s="18">
        <f ca="1">IFERROR(IF(Prêt_Non_Payé*Valeurs_Entrées,Fin_Solde,""), "")</f>
        <v>86059.597291735176</v>
      </c>
    </row>
    <row r="235" spans="2:10" ht="17" customHeight="1">
      <c r="D235" s="16">
        <f ca="1">IFERROR(IF(Prêt_Non_Payé*Valeurs_Entrées,Numéro_Paiement,""), "")</f>
        <v>221</v>
      </c>
      <c r="E235" s="17">
        <f ca="1">IFERROR(IF(Prêt_Non_Payé*Valeurs_Entrées,Paiement_Date,""), "")</f>
        <v>52028</v>
      </c>
      <c r="F235" s="14">
        <f ca="1">IFERROR(IF(Prêt_Non_Payé*Valeurs_Entrées,Début_Solde,""), "")</f>
        <v>86059.597291735176</v>
      </c>
      <c r="G235" s="14">
        <f ca="1">IFERROR(IF(Prêt_Non_Payé*Valeurs_Entrées,Mensualité,""), "")</f>
        <v>1227.3262210603918</v>
      </c>
      <c r="H235" s="14">
        <f ca="1">IFERROR(IF(Prêt_Non_Payé*Valeurs_Entrées,Capital,""), "")</f>
        <v>940.46089675458893</v>
      </c>
      <c r="I235" s="14">
        <f ca="1">IFERROR(IF(Prêt_Non_Payé*Valeurs_Entrées,Intérêts,""), "")</f>
        <v>286.8653243058028</v>
      </c>
      <c r="J235" s="18">
        <f ca="1">IFERROR(IF(Prêt_Non_Payé*Valeurs_Entrées,Fin_Solde,""), "")</f>
        <v>85119.136394980596</v>
      </c>
    </row>
    <row r="236" spans="2:10" ht="17" customHeight="1">
      <c r="D236" s="16">
        <f ca="1">IFERROR(IF(Prêt_Non_Payé*Valeurs_Entrées,Numéro_Paiement,""), "")</f>
        <v>222</v>
      </c>
      <c r="E236" s="17">
        <f ca="1">IFERROR(IF(Prêt_Non_Payé*Valeurs_Entrées,Paiement_Date,""), "")</f>
        <v>52058</v>
      </c>
      <c r="F236" s="14">
        <f ca="1">IFERROR(IF(Prêt_Non_Payé*Valeurs_Entrées,Début_Solde,""), "")</f>
        <v>85119.136394980596</v>
      </c>
      <c r="G236" s="14">
        <f ca="1">IFERROR(IF(Prêt_Non_Payé*Valeurs_Entrées,Mensualité,""), "")</f>
        <v>1227.3262210603918</v>
      </c>
      <c r="H236" s="14">
        <f ca="1">IFERROR(IF(Prêt_Non_Payé*Valeurs_Entrées,Capital,""), "")</f>
        <v>943.5957664104377</v>
      </c>
      <c r="I236" s="14">
        <f ca="1">IFERROR(IF(Prêt_Non_Payé*Valeurs_Entrées,Intérêts,""), "")</f>
        <v>283.7304546499542</v>
      </c>
      <c r="J236" s="18">
        <f ca="1">IFERROR(IF(Prêt_Non_Payé*Valeurs_Entrées,Fin_Solde,""), "")</f>
        <v>84175.540628570132</v>
      </c>
    </row>
    <row r="237" spans="2:10" ht="17" customHeight="1">
      <c r="D237" s="16">
        <f ca="1">IFERROR(IF(Prêt_Non_Payé*Valeurs_Entrées,Numéro_Paiement,""), "")</f>
        <v>223</v>
      </c>
      <c r="E237" s="17">
        <f ca="1">IFERROR(IF(Prêt_Non_Payé*Valeurs_Entrées,Paiement_Date,""), "")</f>
        <v>52089</v>
      </c>
      <c r="F237" s="14">
        <f ca="1">IFERROR(IF(Prêt_Non_Payé*Valeurs_Entrées,Début_Solde,""), "")</f>
        <v>84175.540628570132</v>
      </c>
      <c r="G237" s="14">
        <f ca="1">IFERROR(IF(Prêt_Non_Payé*Valeurs_Entrées,Mensualité,""), "")</f>
        <v>1227.3262210603918</v>
      </c>
      <c r="H237" s="14">
        <f ca="1">IFERROR(IF(Prêt_Non_Payé*Valeurs_Entrées,Capital,""), "")</f>
        <v>946.74108563180573</v>
      </c>
      <c r="I237" s="14">
        <f ca="1">IFERROR(IF(Prêt_Non_Payé*Valeurs_Entrées,Intérêts,""), "")</f>
        <v>280.58513542858606</v>
      </c>
      <c r="J237" s="18">
        <f ca="1">IFERROR(IF(Prêt_Non_Payé*Valeurs_Entrées,Fin_Solde,""), "")</f>
        <v>83228.799542938301</v>
      </c>
    </row>
    <row r="238" spans="2:10" ht="17" customHeight="1">
      <c r="D238" s="16">
        <f ca="1">IFERROR(IF(Prêt_Non_Payé*Valeurs_Entrées,Numéro_Paiement,""), "")</f>
        <v>224</v>
      </c>
      <c r="E238" s="17">
        <f ca="1">IFERROR(IF(Prêt_Non_Payé*Valeurs_Entrées,Paiement_Date,""), "")</f>
        <v>52120</v>
      </c>
      <c r="F238" s="14">
        <f ca="1">IFERROR(IF(Prêt_Non_Payé*Valeurs_Entrées,Début_Solde,""), "")</f>
        <v>83228.799542938301</v>
      </c>
      <c r="G238" s="14">
        <f ca="1">IFERROR(IF(Prêt_Non_Payé*Valeurs_Entrées,Mensualité,""), "")</f>
        <v>1227.3262210603918</v>
      </c>
      <c r="H238" s="14">
        <f ca="1">IFERROR(IF(Prêt_Non_Payé*Valeurs_Entrées,Capital,""), "")</f>
        <v>949.89688925057851</v>
      </c>
      <c r="I238" s="14">
        <f ca="1">IFERROR(IF(Prêt_Non_Payé*Valeurs_Entrées,Intérêts,""), "")</f>
        <v>277.42933180981339</v>
      </c>
      <c r="J238" s="18">
        <f ca="1">IFERROR(IF(Prêt_Non_Payé*Valeurs_Entrées,Fin_Solde,""), "")</f>
        <v>82278.902653687634</v>
      </c>
    </row>
    <row r="239" spans="2:10" ht="17" customHeight="1">
      <c r="D239" s="16">
        <f ca="1">IFERROR(IF(Prêt_Non_Payé*Valeurs_Entrées,Numéro_Paiement,""), "")</f>
        <v>225</v>
      </c>
      <c r="E239" s="17">
        <f ca="1">IFERROR(IF(Prêt_Non_Payé*Valeurs_Entrées,Paiement_Date,""), "")</f>
        <v>52150</v>
      </c>
      <c r="F239" s="14">
        <f ca="1">IFERROR(IF(Prêt_Non_Payé*Valeurs_Entrées,Début_Solde,""), "")</f>
        <v>82278.902653687634</v>
      </c>
      <c r="G239" s="14">
        <f ca="1">IFERROR(IF(Prêt_Non_Payé*Valeurs_Entrées,Mensualité,""), "")</f>
        <v>1227.3262210603918</v>
      </c>
      <c r="H239" s="14">
        <f ca="1">IFERROR(IF(Prêt_Non_Payé*Valeurs_Entrées,Capital,""), "")</f>
        <v>953.06321221474695</v>
      </c>
      <c r="I239" s="14">
        <f ca="1">IFERROR(IF(Prêt_Non_Payé*Valeurs_Entrées,Intérêts,""), "")</f>
        <v>274.26300884564483</v>
      </c>
      <c r="J239" s="18">
        <f ca="1">IFERROR(IF(Prêt_Non_Payé*Valeurs_Entrées,Fin_Solde,""), "")</f>
        <v>81325.839441472839</v>
      </c>
    </row>
    <row r="240" spans="2:10" ht="17" customHeight="1">
      <c r="D240" s="16">
        <f ca="1">IFERROR(IF(Prêt_Non_Payé*Valeurs_Entrées,Numéro_Paiement,""), "")</f>
        <v>226</v>
      </c>
      <c r="E240" s="17">
        <f ca="1">IFERROR(IF(Prêt_Non_Payé*Valeurs_Entrées,Paiement_Date,""), "")</f>
        <v>52181</v>
      </c>
      <c r="F240" s="14">
        <f ca="1">IFERROR(IF(Prêt_Non_Payé*Valeurs_Entrées,Début_Solde,""), "")</f>
        <v>81325.839441472839</v>
      </c>
      <c r="G240" s="14">
        <f ca="1">IFERROR(IF(Prêt_Non_Payé*Valeurs_Entrées,Mensualité,""), "")</f>
        <v>1227.3262210603918</v>
      </c>
      <c r="H240" s="14">
        <f ca="1">IFERROR(IF(Prêt_Non_Payé*Valeurs_Entrées,Capital,""), "")</f>
        <v>956.24008958879631</v>
      </c>
      <c r="I240" s="14">
        <f ca="1">IFERROR(IF(Prêt_Non_Payé*Valeurs_Entrées,Intérêts,""), "")</f>
        <v>271.08613147159565</v>
      </c>
      <c r="J240" s="18">
        <f ca="1">IFERROR(IF(Prêt_Non_Payé*Valeurs_Entrées,Fin_Solde,""), "")</f>
        <v>80369.599351883982</v>
      </c>
    </row>
    <row r="241" spans="2:10" ht="17" customHeight="1">
      <c r="D241" s="16">
        <f ca="1">IFERROR(IF(Prêt_Non_Payé*Valeurs_Entrées,Numéro_Paiement,""), "")</f>
        <v>227</v>
      </c>
      <c r="E241" s="17">
        <f ca="1">IFERROR(IF(Prêt_Non_Payé*Valeurs_Entrées,Paiement_Date,""), "")</f>
        <v>52211</v>
      </c>
      <c r="F241" s="14">
        <f ca="1">IFERROR(IF(Prêt_Non_Payé*Valeurs_Entrées,Début_Solde,""), "")</f>
        <v>80369.599351883982</v>
      </c>
      <c r="G241" s="14">
        <f ca="1">IFERROR(IF(Prêt_Non_Payé*Valeurs_Entrées,Mensualité,""), "")</f>
        <v>1227.3262210603918</v>
      </c>
      <c r="H241" s="14">
        <f ca="1">IFERROR(IF(Prêt_Non_Payé*Valeurs_Entrées,Capital,""), "")</f>
        <v>959.42755655409212</v>
      </c>
      <c r="I241" s="14">
        <f ca="1">IFERROR(IF(Prêt_Non_Payé*Valeurs_Entrées,Intérêts,""), "")</f>
        <v>267.89866450629967</v>
      </c>
      <c r="J241" s="18">
        <f ca="1">IFERROR(IF(Prêt_Non_Payé*Valeurs_Entrées,Fin_Solde,""), "")</f>
        <v>79410.171795329719</v>
      </c>
    </row>
    <row r="242" spans="2:10" ht="17" customHeight="1">
      <c r="B242" s="28">
        <v>19</v>
      </c>
      <c r="D242" s="19">
        <f ca="1">IFERROR(IF(Prêt_Non_Payé*Valeurs_Entrées,Numéro_Paiement,""), "")</f>
        <v>228</v>
      </c>
      <c r="E242" s="27">
        <f ca="1">IFERROR(IF(Prêt_Non_Payé*Valeurs_Entrées,Paiement_Date,""), "")</f>
        <v>52242</v>
      </c>
      <c r="F242" s="18">
        <f ca="1">IFERROR(IF(Prêt_Non_Payé*Valeurs_Entrées,Début_Solde,""), "")</f>
        <v>79410.171795329719</v>
      </c>
      <c r="G242" s="18">
        <f ca="1">IFERROR(IF(Prêt_Non_Payé*Valeurs_Entrées,Mensualité,""), "")</f>
        <v>1227.3262210603918</v>
      </c>
      <c r="H242" s="18">
        <f ca="1">IFERROR(IF(Prêt_Non_Payé*Valeurs_Entrées,Capital,""), "")</f>
        <v>962.62564840927257</v>
      </c>
      <c r="I242" s="18">
        <f ca="1">IFERROR(IF(Prêt_Non_Payé*Valeurs_Entrées,Intérêts,""), "")</f>
        <v>264.70057265111933</v>
      </c>
      <c r="J242" s="18">
        <f ca="1">IFERROR(IF(Prêt_Non_Payé*Valeurs_Entrées,Fin_Solde,""), "")</f>
        <v>78447.546146920533</v>
      </c>
    </row>
    <row r="243" spans="2:10" ht="17" customHeight="1">
      <c r="D243" s="16">
        <f ca="1">IFERROR(IF(Prêt_Non_Payé*Valeurs_Entrées,Numéro_Paiement,""), "")</f>
        <v>229</v>
      </c>
      <c r="E243" s="17">
        <f ca="1">IFERROR(IF(Prêt_Non_Payé*Valeurs_Entrées,Paiement_Date,""), "")</f>
        <v>52273</v>
      </c>
      <c r="F243" s="14">
        <f ca="1">IFERROR(IF(Prêt_Non_Payé*Valeurs_Entrées,Début_Solde,""), "")</f>
        <v>78447.546146920533</v>
      </c>
      <c r="G243" s="14">
        <f ca="1">IFERROR(IF(Prêt_Non_Payé*Valeurs_Entrées,Mensualité,""), "")</f>
        <v>1227.3262210603918</v>
      </c>
      <c r="H243" s="14">
        <f ca="1">IFERROR(IF(Prêt_Non_Payé*Valeurs_Entrées,Capital,""), "")</f>
        <v>965.83440057063672</v>
      </c>
      <c r="I243" s="14">
        <f ca="1">IFERROR(IF(Prêt_Non_Payé*Valeurs_Entrées,Intérêts,""), "")</f>
        <v>261.49182048975513</v>
      </c>
      <c r="J243" s="18">
        <f ca="1">IFERROR(IF(Prêt_Non_Payé*Valeurs_Entrées,Fin_Solde,""), "")</f>
        <v>77481.711746349814</v>
      </c>
    </row>
    <row r="244" spans="2:10" ht="17" customHeight="1">
      <c r="D244" s="16">
        <f ca="1">IFERROR(IF(Prêt_Non_Payé*Valeurs_Entrées,Numéro_Paiement,""), "")</f>
        <v>230</v>
      </c>
      <c r="E244" s="17">
        <f ca="1">IFERROR(IF(Prêt_Non_Payé*Valeurs_Entrées,Paiement_Date,""), "")</f>
        <v>52301</v>
      </c>
      <c r="F244" s="14">
        <f ca="1">IFERROR(IF(Prêt_Non_Payé*Valeurs_Entrées,Début_Solde,""), "")</f>
        <v>77481.711746349814</v>
      </c>
      <c r="G244" s="14">
        <f ca="1">IFERROR(IF(Prêt_Non_Payé*Valeurs_Entrées,Mensualité,""), "")</f>
        <v>1227.3262210603918</v>
      </c>
      <c r="H244" s="14">
        <f ca="1">IFERROR(IF(Prêt_Non_Payé*Valeurs_Entrées,Capital,""), "")</f>
        <v>969.05384857253898</v>
      </c>
      <c r="I244" s="14">
        <f ca="1">IFERROR(IF(Prêt_Non_Payé*Valeurs_Entrées,Intérêts,""), "")</f>
        <v>258.27237248785303</v>
      </c>
      <c r="J244" s="18">
        <f ca="1">IFERROR(IF(Prêt_Non_Payé*Valeurs_Entrées,Fin_Solde,""), "")</f>
        <v>76512.657897777215</v>
      </c>
    </row>
    <row r="245" spans="2:10" ht="17" customHeight="1">
      <c r="D245" s="16">
        <f ca="1">IFERROR(IF(Prêt_Non_Payé*Valeurs_Entrées,Numéro_Paiement,""), "")</f>
        <v>231</v>
      </c>
      <c r="E245" s="17">
        <f ca="1">IFERROR(IF(Prêt_Non_Payé*Valeurs_Entrées,Paiement_Date,""), "")</f>
        <v>52332</v>
      </c>
      <c r="F245" s="14">
        <f ca="1">IFERROR(IF(Prêt_Non_Payé*Valeurs_Entrées,Début_Solde,""), "")</f>
        <v>76512.657897777215</v>
      </c>
      <c r="G245" s="14">
        <f ca="1">IFERROR(IF(Prêt_Non_Payé*Valeurs_Entrées,Mensualité,""), "")</f>
        <v>1227.3262210603918</v>
      </c>
      <c r="H245" s="14">
        <f ca="1">IFERROR(IF(Prêt_Non_Payé*Valeurs_Entrées,Capital,""), "")</f>
        <v>972.28402806778081</v>
      </c>
      <c r="I245" s="14">
        <f ca="1">IFERROR(IF(Prêt_Non_Payé*Valeurs_Entrées,Intérêts,""), "")</f>
        <v>255.04219299261121</v>
      </c>
      <c r="J245" s="18">
        <f ca="1">IFERROR(IF(Prêt_Non_Payé*Valeurs_Entrées,Fin_Solde,""), "")</f>
        <v>75540.37386970938</v>
      </c>
    </row>
    <row r="246" spans="2:10" ht="17" customHeight="1">
      <c r="D246" s="16">
        <f ca="1">IFERROR(IF(Prêt_Non_Payé*Valeurs_Entrées,Numéro_Paiement,""), "")</f>
        <v>232</v>
      </c>
      <c r="E246" s="17">
        <f ca="1">IFERROR(IF(Prêt_Non_Payé*Valeurs_Entrées,Paiement_Date,""), "")</f>
        <v>52362</v>
      </c>
      <c r="F246" s="14">
        <f ca="1">IFERROR(IF(Prêt_Non_Payé*Valeurs_Entrées,Début_Solde,""), "")</f>
        <v>75540.37386970938</v>
      </c>
      <c r="G246" s="14">
        <f ca="1">IFERROR(IF(Prêt_Non_Payé*Valeurs_Entrées,Mensualité,""), "")</f>
        <v>1227.3262210603918</v>
      </c>
      <c r="H246" s="14">
        <f ca="1">IFERROR(IF(Prêt_Non_Payé*Valeurs_Entrées,Capital,""), "")</f>
        <v>975.52497482800652</v>
      </c>
      <c r="I246" s="14">
        <f ca="1">IFERROR(IF(Prêt_Non_Payé*Valeurs_Entrées,Intérêts,""), "")</f>
        <v>251.80124623238524</v>
      </c>
      <c r="J246" s="18">
        <f ca="1">IFERROR(IF(Prêt_Non_Payé*Valeurs_Entrées,Fin_Solde,""), "")</f>
        <v>74564.848894881376</v>
      </c>
    </row>
    <row r="247" spans="2:10" ht="17" customHeight="1">
      <c r="D247" s="16">
        <f ca="1">IFERROR(IF(Prêt_Non_Payé*Valeurs_Entrées,Numéro_Paiement,""), "")</f>
        <v>233</v>
      </c>
      <c r="E247" s="17">
        <f ca="1">IFERROR(IF(Prêt_Non_Payé*Valeurs_Entrées,Paiement_Date,""), "")</f>
        <v>52393</v>
      </c>
      <c r="F247" s="14">
        <f ca="1">IFERROR(IF(Prêt_Non_Payé*Valeurs_Entrées,Début_Solde,""), "")</f>
        <v>74564.848894881376</v>
      </c>
      <c r="G247" s="14">
        <f ca="1">IFERROR(IF(Prêt_Non_Payé*Valeurs_Entrées,Mensualité,""), "")</f>
        <v>1227.3262210603918</v>
      </c>
      <c r="H247" s="14">
        <f ca="1">IFERROR(IF(Prêt_Non_Payé*Valeurs_Entrées,Capital,""), "")</f>
        <v>978.77672474410008</v>
      </c>
      <c r="I247" s="14">
        <f ca="1">IFERROR(IF(Prêt_Non_Payé*Valeurs_Entrées,Intérêts,""), "")</f>
        <v>248.54949631629188</v>
      </c>
      <c r="J247" s="18">
        <f ca="1">IFERROR(IF(Prêt_Non_Payé*Valeurs_Entrées,Fin_Solde,""), "")</f>
        <v>73586.072170137253</v>
      </c>
    </row>
    <row r="248" spans="2:10" ht="17" customHeight="1">
      <c r="D248" s="16">
        <f ca="1">IFERROR(IF(Prêt_Non_Payé*Valeurs_Entrées,Numéro_Paiement,""), "")</f>
        <v>234</v>
      </c>
      <c r="E248" s="17">
        <f ca="1">IFERROR(IF(Prêt_Non_Payé*Valeurs_Entrées,Paiement_Date,""), "")</f>
        <v>52423</v>
      </c>
      <c r="F248" s="14">
        <f ca="1">IFERROR(IF(Prêt_Non_Payé*Valeurs_Entrées,Début_Solde,""), "")</f>
        <v>73586.072170137253</v>
      </c>
      <c r="G248" s="14">
        <f ca="1">IFERROR(IF(Prêt_Non_Payé*Valeurs_Entrées,Mensualité,""), "")</f>
        <v>1227.3262210603918</v>
      </c>
      <c r="H248" s="14">
        <f ca="1">IFERROR(IF(Prêt_Non_Payé*Valeurs_Entrées,Capital,""), "")</f>
        <v>982.0393138265805</v>
      </c>
      <c r="I248" s="14">
        <f ca="1">IFERROR(IF(Prêt_Non_Payé*Valeurs_Entrées,Intérêts,""), "")</f>
        <v>245.28690723381158</v>
      </c>
      <c r="J248" s="18">
        <f ca="1">IFERROR(IF(Prêt_Non_Payé*Valeurs_Entrées,Fin_Solde,""), "")</f>
        <v>72604.032856310543</v>
      </c>
    </row>
    <row r="249" spans="2:10" ht="17" customHeight="1">
      <c r="D249" s="16">
        <f ca="1">IFERROR(IF(Prêt_Non_Payé*Valeurs_Entrées,Numéro_Paiement,""), "")</f>
        <v>235</v>
      </c>
      <c r="E249" s="17">
        <f ca="1">IFERROR(IF(Prêt_Non_Payé*Valeurs_Entrées,Paiement_Date,""), "")</f>
        <v>52454</v>
      </c>
      <c r="F249" s="14">
        <f ca="1">IFERROR(IF(Prêt_Non_Payé*Valeurs_Entrées,Début_Solde,""), "")</f>
        <v>72604.032856310543</v>
      </c>
      <c r="G249" s="14">
        <f ca="1">IFERROR(IF(Prêt_Non_Payé*Valeurs_Entrées,Mensualité,""), "")</f>
        <v>1227.3262210603918</v>
      </c>
      <c r="H249" s="14">
        <f ca="1">IFERROR(IF(Prêt_Non_Payé*Valeurs_Entrées,Capital,""), "")</f>
        <v>985.31277820600224</v>
      </c>
      <c r="I249" s="14">
        <f ca="1">IFERROR(IF(Prêt_Non_Payé*Valeurs_Entrées,Intérêts,""), "")</f>
        <v>242.01344285438964</v>
      </c>
      <c r="J249" s="18">
        <f ca="1">IFERROR(IF(Prêt_Non_Payé*Valeurs_Entrées,Fin_Solde,""), "")</f>
        <v>71618.720078104583</v>
      </c>
    </row>
    <row r="250" spans="2:10" ht="17" customHeight="1">
      <c r="D250" s="16">
        <f ca="1">IFERROR(IF(Prêt_Non_Payé*Valeurs_Entrées,Numéro_Paiement,""), "")</f>
        <v>236</v>
      </c>
      <c r="E250" s="17">
        <f ca="1">IFERROR(IF(Prêt_Non_Payé*Valeurs_Entrées,Paiement_Date,""), "")</f>
        <v>52485</v>
      </c>
      <c r="F250" s="14">
        <f ca="1">IFERROR(IF(Prêt_Non_Payé*Valeurs_Entrées,Début_Solde,""), "")</f>
        <v>71618.720078104583</v>
      </c>
      <c r="G250" s="14">
        <f ca="1">IFERROR(IF(Prêt_Non_Payé*Valeurs_Entrées,Mensualité,""), "")</f>
        <v>1227.3262210603918</v>
      </c>
      <c r="H250" s="14">
        <f ca="1">IFERROR(IF(Prêt_Non_Payé*Valeurs_Entrées,Capital,""), "")</f>
        <v>988.59715413335562</v>
      </c>
      <c r="I250" s="14">
        <f ca="1">IFERROR(IF(Prêt_Non_Payé*Valeurs_Entrées,Intérêts,""), "")</f>
        <v>238.72906692703629</v>
      </c>
      <c r="J250" s="18">
        <f ca="1">IFERROR(IF(Prêt_Non_Payé*Valeurs_Entrées,Fin_Solde,""), "")</f>
        <v>70630.122923971212</v>
      </c>
    </row>
    <row r="251" spans="2:10" ht="17" customHeight="1">
      <c r="D251" s="16">
        <f ca="1">IFERROR(IF(Prêt_Non_Payé*Valeurs_Entrées,Numéro_Paiement,""), "")</f>
        <v>237</v>
      </c>
      <c r="E251" s="17">
        <f ca="1">IFERROR(IF(Prêt_Non_Payé*Valeurs_Entrées,Paiement_Date,""), "")</f>
        <v>52515</v>
      </c>
      <c r="F251" s="14">
        <f ca="1">IFERROR(IF(Prêt_Non_Payé*Valeurs_Entrées,Début_Solde,""), "")</f>
        <v>70630.122923971212</v>
      </c>
      <c r="G251" s="14">
        <f ca="1">IFERROR(IF(Prêt_Non_Payé*Valeurs_Entrées,Mensualité,""), "")</f>
        <v>1227.3262210603918</v>
      </c>
      <c r="H251" s="14">
        <f ca="1">IFERROR(IF(Prêt_Non_Payé*Valeurs_Entrées,Capital,""), "")</f>
        <v>991.89247798046665</v>
      </c>
      <c r="I251" s="14">
        <f ca="1">IFERROR(IF(Prêt_Non_Payé*Valeurs_Entrées,Intérêts,""), "")</f>
        <v>235.43374307992505</v>
      </c>
      <c r="J251" s="18">
        <f ca="1">IFERROR(IF(Prêt_Non_Payé*Valeurs_Entrées,Fin_Solde,""), "")</f>
        <v>69638.23044599063</v>
      </c>
    </row>
    <row r="252" spans="2:10" ht="17" customHeight="1">
      <c r="D252" s="16">
        <f ca="1">IFERROR(IF(Prêt_Non_Payé*Valeurs_Entrées,Numéro_Paiement,""), "")</f>
        <v>238</v>
      </c>
      <c r="E252" s="17">
        <f ca="1">IFERROR(IF(Prêt_Non_Payé*Valeurs_Entrées,Paiement_Date,""), "")</f>
        <v>52546</v>
      </c>
      <c r="F252" s="14">
        <f ca="1">IFERROR(IF(Prêt_Non_Payé*Valeurs_Entrées,Début_Solde,""), "")</f>
        <v>69638.23044599063</v>
      </c>
      <c r="G252" s="14">
        <f ca="1">IFERROR(IF(Prêt_Non_Payé*Valeurs_Entrées,Mensualité,""), "")</f>
        <v>1227.3262210603918</v>
      </c>
      <c r="H252" s="14">
        <f ca="1">IFERROR(IF(Prêt_Non_Payé*Valeurs_Entrées,Capital,""), "")</f>
        <v>995.19878624040177</v>
      </c>
      <c r="I252" s="14">
        <f ca="1">IFERROR(IF(Prêt_Non_Payé*Valeurs_Entrées,Intérêts,""), "")</f>
        <v>232.12743481999021</v>
      </c>
      <c r="J252" s="18">
        <f ca="1">IFERROR(IF(Prêt_Non_Payé*Valeurs_Entrées,Fin_Solde,""), "")</f>
        <v>68643.031659750151</v>
      </c>
    </row>
    <row r="253" spans="2:10" ht="17" customHeight="1">
      <c r="D253" s="16">
        <f ca="1">IFERROR(IF(Prêt_Non_Payé*Valeurs_Entrées,Numéro_Paiement,""), "")</f>
        <v>239</v>
      </c>
      <c r="E253" s="17">
        <f ca="1">IFERROR(IF(Prêt_Non_Payé*Valeurs_Entrées,Paiement_Date,""), "")</f>
        <v>52576</v>
      </c>
      <c r="F253" s="14">
        <f ca="1">IFERROR(IF(Prêt_Non_Payé*Valeurs_Entrées,Début_Solde,""), "")</f>
        <v>68643.031659750151</v>
      </c>
      <c r="G253" s="14">
        <f ca="1">IFERROR(IF(Prêt_Non_Payé*Valeurs_Entrées,Mensualité,""), "")</f>
        <v>1227.3262210603918</v>
      </c>
      <c r="H253" s="14">
        <f ca="1">IFERROR(IF(Prêt_Non_Payé*Valeurs_Entrées,Capital,""), "")</f>
        <v>998.5161155278696</v>
      </c>
      <c r="I253" s="14">
        <f ca="1">IFERROR(IF(Prêt_Non_Payé*Valeurs_Entrées,Intérêts,""), "")</f>
        <v>228.81010553252221</v>
      </c>
      <c r="J253" s="18">
        <f ca="1">IFERROR(IF(Prêt_Non_Payé*Valeurs_Entrées,Fin_Solde,""), "")</f>
        <v>67644.515544222202</v>
      </c>
    </row>
    <row r="254" spans="2:10" ht="17" customHeight="1">
      <c r="B254" s="28">
        <v>20</v>
      </c>
      <c r="D254" s="19">
        <f ca="1">IFERROR(IF(Prêt_Non_Payé*Valeurs_Entrées,Numéro_Paiement,""), "")</f>
        <v>240</v>
      </c>
      <c r="E254" s="27">
        <f ca="1">IFERROR(IF(Prêt_Non_Payé*Valeurs_Entrées,Paiement_Date,""), "")</f>
        <v>52607</v>
      </c>
      <c r="F254" s="18">
        <f ca="1">IFERROR(IF(Prêt_Non_Payé*Valeurs_Entrées,Début_Solde,""), "")</f>
        <v>67644.515544222202</v>
      </c>
      <c r="G254" s="18">
        <f ca="1">IFERROR(IF(Prêt_Non_Payé*Valeurs_Entrées,Mensualité,""), "")</f>
        <v>1227.3262210603918</v>
      </c>
      <c r="H254" s="18">
        <f ca="1">IFERROR(IF(Prêt_Non_Payé*Valeurs_Entrées,Capital,""), "")</f>
        <v>1001.8445025796293</v>
      </c>
      <c r="I254" s="18">
        <f ca="1">IFERROR(IF(Prêt_Non_Payé*Valeurs_Entrées,Intérêts,""), "")</f>
        <v>225.48171848076262</v>
      </c>
      <c r="J254" s="18">
        <f ca="1">IFERROR(IF(Prêt_Non_Payé*Valeurs_Entrées,Fin_Solde,""), "")</f>
        <v>66642.671041642607</v>
      </c>
    </row>
    <row r="255" spans="2:10" ht="17" customHeight="1">
      <c r="D255" s="16">
        <f ca="1">IFERROR(IF(Prêt_Non_Payé*Valeurs_Entrées,Numéro_Paiement,""), "")</f>
        <v>241</v>
      </c>
      <c r="E255" s="17">
        <f ca="1">IFERROR(IF(Prêt_Non_Payé*Valeurs_Entrées,Paiement_Date,""), "")</f>
        <v>52638</v>
      </c>
      <c r="F255" s="14">
        <f ca="1">IFERROR(IF(Prêt_Non_Payé*Valeurs_Entrées,Début_Solde,""), "")</f>
        <v>66642.671041642607</v>
      </c>
      <c r="G255" s="14">
        <f ca="1">IFERROR(IF(Prêt_Non_Payé*Valeurs_Entrées,Mensualité,""), "")</f>
        <v>1227.3262210603918</v>
      </c>
      <c r="H255" s="14">
        <f ca="1">IFERROR(IF(Prêt_Non_Payé*Valeurs_Entrées,Capital,""), "")</f>
        <v>1005.1839842548948</v>
      </c>
      <c r="I255" s="14">
        <f ca="1">IFERROR(IF(Prêt_Non_Payé*Valeurs_Entrées,Intérêts,""), "")</f>
        <v>222.14223680549719</v>
      </c>
      <c r="J255" s="18">
        <f ca="1">IFERROR(IF(Prêt_Non_Payé*Valeurs_Entrées,Fin_Solde,""), "")</f>
        <v>65637.487057387654</v>
      </c>
    </row>
    <row r="256" spans="2:10" ht="17" customHeight="1">
      <c r="D256" s="16">
        <f ca="1">IFERROR(IF(Prêt_Non_Payé*Valeurs_Entrées,Numéro_Paiement,""), "")</f>
        <v>242</v>
      </c>
      <c r="E256" s="17">
        <f ca="1">IFERROR(IF(Prêt_Non_Payé*Valeurs_Entrées,Paiement_Date,""), "")</f>
        <v>52667</v>
      </c>
      <c r="F256" s="14">
        <f ca="1">IFERROR(IF(Prêt_Non_Payé*Valeurs_Entrées,Début_Solde,""), "")</f>
        <v>65637.487057387654</v>
      </c>
      <c r="G256" s="14">
        <f ca="1">IFERROR(IF(Prêt_Non_Payé*Valeurs_Entrées,Mensualité,""), "")</f>
        <v>1227.3262210603918</v>
      </c>
      <c r="H256" s="14">
        <f ca="1">IFERROR(IF(Prêt_Non_Payé*Valeurs_Entrées,Capital,""), "")</f>
        <v>1008.5345975357444</v>
      </c>
      <c r="I256" s="14">
        <f ca="1">IFERROR(IF(Prêt_Non_Payé*Valeurs_Entrées,Intérêts,""), "")</f>
        <v>218.79162352464749</v>
      </c>
      <c r="J256" s="18">
        <f ca="1">IFERROR(IF(Prêt_Non_Payé*Valeurs_Entrées,Fin_Solde,""), "")</f>
        <v>64628.95245985192</v>
      </c>
    </row>
    <row r="257" spans="2:10" ht="17" customHeight="1">
      <c r="D257" s="16">
        <f ca="1">IFERROR(IF(Prêt_Non_Payé*Valeurs_Entrées,Numéro_Paiement,""), "")</f>
        <v>243</v>
      </c>
      <c r="E257" s="17">
        <f ca="1">IFERROR(IF(Prêt_Non_Payé*Valeurs_Entrées,Paiement_Date,""), "")</f>
        <v>52698</v>
      </c>
      <c r="F257" s="14">
        <f ca="1">IFERROR(IF(Prêt_Non_Payé*Valeurs_Entrées,Début_Solde,""), "")</f>
        <v>64628.95245985192</v>
      </c>
      <c r="G257" s="14">
        <f ca="1">IFERROR(IF(Prêt_Non_Payé*Valeurs_Entrées,Mensualité,""), "")</f>
        <v>1227.3262210603918</v>
      </c>
      <c r="H257" s="14">
        <f ca="1">IFERROR(IF(Prêt_Non_Payé*Valeurs_Entrées,Capital,""), "")</f>
        <v>1011.8963795275301</v>
      </c>
      <c r="I257" s="14">
        <f ca="1">IFERROR(IF(Prêt_Non_Payé*Valeurs_Entrées,Intérêts,""), "")</f>
        <v>215.42984153286176</v>
      </c>
      <c r="J257" s="18">
        <f ca="1">IFERROR(IF(Prêt_Non_Payé*Valeurs_Entrées,Fin_Solde,""), "")</f>
        <v>63617.056080324168</v>
      </c>
    </row>
    <row r="258" spans="2:10" ht="17" customHeight="1">
      <c r="D258" s="16">
        <f ca="1">IFERROR(IF(Prêt_Non_Payé*Valeurs_Entrées,Numéro_Paiement,""), "")</f>
        <v>244</v>
      </c>
      <c r="E258" s="17">
        <f ca="1">IFERROR(IF(Prêt_Non_Payé*Valeurs_Entrées,Paiement_Date,""), "")</f>
        <v>52728</v>
      </c>
      <c r="F258" s="14">
        <f ca="1">IFERROR(IF(Prêt_Non_Payé*Valeurs_Entrées,Début_Solde,""), "")</f>
        <v>63617.056080324168</v>
      </c>
      <c r="G258" s="14">
        <f ca="1">IFERROR(IF(Prêt_Non_Payé*Valeurs_Entrées,Mensualité,""), "")</f>
        <v>1227.3262210603918</v>
      </c>
      <c r="H258" s="14">
        <f ca="1">IFERROR(IF(Prêt_Non_Payé*Valeurs_Entrées,Capital,""), "")</f>
        <v>1015.2693674592886</v>
      </c>
      <c r="I258" s="14">
        <f ca="1">IFERROR(IF(Prêt_Non_Payé*Valeurs_Entrées,Intérêts,""), "")</f>
        <v>212.05685360110328</v>
      </c>
      <c r="J258" s="18">
        <f ca="1">IFERROR(IF(Prêt_Non_Payé*Valeurs_Entrées,Fin_Solde,""), "")</f>
        <v>62601.78671286488</v>
      </c>
    </row>
    <row r="259" spans="2:10" ht="17" customHeight="1">
      <c r="D259" s="16">
        <f ca="1">IFERROR(IF(Prêt_Non_Payé*Valeurs_Entrées,Numéro_Paiement,""), "")</f>
        <v>245</v>
      </c>
      <c r="E259" s="17">
        <f ca="1">IFERROR(IF(Prêt_Non_Payé*Valeurs_Entrées,Paiement_Date,""), "")</f>
        <v>52759</v>
      </c>
      <c r="F259" s="14">
        <f ca="1">IFERROR(IF(Prêt_Non_Payé*Valeurs_Entrées,Début_Solde,""), "")</f>
        <v>62601.78671286488</v>
      </c>
      <c r="G259" s="14">
        <f ca="1">IFERROR(IF(Prêt_Non_Payé*Valeurs_Entrées,Mensualité,""), "")</f>
        <v>1227.3262210603918</v>
      </c>
      <c r="H259" s="14">
        <f ca="1">IFERROR(IF(Prêt_Non_Payé*Valeurs_Entrées,Capital,""), "")</f>
        <v>1018.6535986841529</v>
      </c>
      <c r="I259" s="14">
        <f ca="1">IFERROR(IF(Prêt_Non_Payé*Valeurs_Entrées,Intérêts,""), "")</f>
        <v>208.67262237623899</v>
      </c>
      <c r="J259" s="18">
        <f ca="1">IFERROR(IF(Prêt_Non_Payé*Valeurs_Entrées,Fin_Solde,""), "")</f>
        <v>61583.133114180702</v>
      </c>
    </row>
    <row r="260" spans="2:10" ht="17" customHeight="1">
      <c r="D260" s="16">
        <f ca="1">IFERROR(IF(Prêt_Non_Payé*Valeurs_Entrées,Numéro_Paiement,""), "")</f>
        <v>246</v>
      </c>
      <c r="E260" s="17">
        <f ca="1">IFERROR(IF(Prêt_Non_Payé*Valeurs_Entrées,Paiement_Date,""), "")</f>
        <v>52789</v>
      </c>
      <c r="F260" s="14">
        <f ca="1">IFERROR(IF(Prêt_Non_Payé*Valeurs_Entrées,Début_Solde,""), "")</f>
        <v>61583.133114180702</v>
      </c>
      <c r="G260" s="14">
        <f ca="1">IFERROR(IF(Prêt_Non_Payé*Valeurs_Entrées,Mensualité,""), "")</f>
        <v>1227.3262210603918</v>
      </c>
      <c r="H260" s="14">
        <f ca="1">IFERROR(IF(Prêt_Non_Payé*Valeurs_Entrées,Capital,""), "")</f>
        <v>1022.0491106797668</v>
      </c>
      <c r="I260" s="14">
        <f ca="1">IFERROR(IF(Prêt_Non_Payé*Valeurs_Entrées,Intérêts,""), "")</f>
        <v>205.27711038062517</v>
      </c>
      <c r="J260" s="18">
        <f ca="1">IFERROR(IF(Prêt_Non_Payé*Valeurs_Entrées,Fin_Solde,""), "")</f>
        <v>60561.084003500757</v>
      </c>
    </row>
    <row r="261" spans="2:10" ht="17" customHeight="1">
      <c r="D261" s="16">
        <f ca="1">IFERROR(IF(Prêt_Non_Payé*Valeurs_Entrées,Numéro_Paiement,""), "")</f>
        <v>247</v>
      </c>
      <c r="E261" s="17">
        <f ca="1">IFERROR(IF(Prêt_Non_Payé*Valeurs_Entrées,Paiement_Date,""), "")</f>
        <v>52820</v>
      </c>
      <c r="F261" s="14">
        <f ca="1">IFERROR(IF(Prêt_Non_Payé*Valeurs_Entrées,Début_Solde,""), "")</f>
        <v>60561.084003500757</v>
      </c>
      <c r="G261" s="14">
        <f ca="1">IFERROR(IF(Prêt_Non_Payé*Valeurs_Entrées,Mensualité,""), "")</f>
        <v>1227.3262210603918</v>
      </c>
      <c r="H261" s="14">
        <f ca="1">IFERROR(IF(Prêt_Non_Payé*Valeurs_Entrées,Capital,""), "")</f>
        <v>1025.4559410486993</v>
      </c>
      <c r="I261" s="14">
        <f ca="1">IFERROR(IF(Prêt_Non_Payé*Valeurs_Entrées,Intérêts,""), "")</f>
        <v>201.87028001169259</v>
      </c>
      <c r="J261" s="18">
        <f ca="1">IFERROR(IF(Prêt_Non_Payé*Valeurs_Entrées,Fin_Solde,""), "")</f>
        <v>59535.628062452131</v>
      </c>
    </row>
    <row r="262" spans="2:10" ht="17" customHeight="1">
      <c r="D262" s="16">
        <f ca="1">IFERROR(IF(Prêt_Non_Payé*Valeurs_Entrées,Numéro_Paiement,""), "")</f>
        <v>248</v>
      </c>
      <c r="E262" s="17">
        <f ca="1">IFERROR(IF(Prêt_Non_Payé*Valeurs_Entrées,Paiement_Date,""), "")</f>
        <v>52851</v>
      </c>
      <c r="F262" s="14">
        <f ca="1">IFERROR(IF(Prêt_Non_Payé*Valeurs_Entrées,Début_Solde,""), "")</f>
        <v>59535.628062452131</v>
      </c>
      <c r="G262" s="14">
        <f ca="1">IFERROR(IF(Prêt_Non_Payé*Valeurs_Entrées,Mensualité,""), "")</f>
        <v>1227.3262210603918</v>
      </c>
      <c r="H262" s="14">
        <f ca="1">IFERROR(IF(Prêt_Non_Payé*Valeurs_Entrées,Capital,""), "")</f>
        <v>1028.8741275188615</v>
      </c>
      <c r="I262" s="14">
        <f ca="1">IFERROR(IF(Prêt_Non_Payé*Valeurs_Entrées,Intérêts,""), "")</f>
        <v>198.45209354153027</v>
      </c>
      <c r="J262" s="18">
        <f ca="1">IFERROR(IF(Prêt_Non_Payé*Valeurs_Entrées,Fin_Solde,""), "")</f>
        <v>58506.753934933222</v>
      </c>
    </row>
    <row r="263" spans="2:10" ht="17" customHeight="1">
      <c r="D263" s="16">
        <f ca="1">IFERROR(IF(Prêt_Non_Payé*Valeurs_Entrées,Numéro_Paiement,""), "")</f>
        <v>249</v>
      </c>
      <c r="E263" s="17">
        <f ca="1">IFERROR(IF(Prêt_Non_Payé*Valeurs_Entrées,Paiement_Date,""), "")</f>
        <v>52881</v>
      </c>
      <c r="F263" s="14">
        <f ca="1">IFERROR(IF(Prêt_Non_Payé*Valeurs_Entrées,Début_Solde,""), "")</f>
        <v>58506.753934933222</v>
      </c>
      <c r="G263" s="14">
        <f ca="1">IFERROR(IF(Prêt_Non_Payé*Valeurs_Entrées,Mensualité,""), "")</f>
        <v>1227.3262210603918</v>
      </c>
      <c r="H263" s="14">
        <f ca="1">IFERROR(IF(Prêt_Non_Payé*Valeurs_Entrées,Capital,""), "")</f>
        <v>1032.3037079439246</v>
      </c>
      <c r="I263" s="14">
        <f ca="1">IFERROR(IF(Prêt_Non_Payé*Valeurs_Entrées,Intérêts,""), "")</f>
        <v>195.02251311646742</v>
      </c>
      <c r="J263" s="18">
        <f ca="1">IFERROR(IF(Prêt_Non_Payé*Valeurs_Entrées,Fin_Solde,""), "")</f>
        <v>57474.450226989225</v>
      </c>
    </row>
    <row r="264" spans="2:10" ht="17" customHeight="1">
      <c r="D264" s="16">
        <f ca="1">IFERROR(IF(Prêt_Non_Payé*Valeurs_Entrées,Numéro_Paiement,""), "")</f>
        <v>250</v>
      </c>
      <c r="E264" s="17">
        <f ca="1">IFERROR(IF(Prêt_Non_Payé*Valeurs_Entrées,Paiement_Date,""), "")</f>
        <v>52912</v>
      </c>
      <c r="F264" s="14">
        <f ca="1">IFERROR(IF(Prêt_Non_Payé*Valeurs_Entrées,Début_Solde,""), "")</f>
        <v>57474.450226989225</v>
      </c>
      <c r="G264" s="14">
        <f ca="1">IFERROR(IF(Prêt_Non_Payé*Valeurs_Entrées,Mensualité,""), "")</f>
        <v>1227.3262210603918</v>
      </c>
      <c r="H264" s="14">
        <f ca="1">IFERROR(IF(Prêt_Non_Payé*Valeurs_Entrées,Capital,""), "")</f>
        <v>1035.7447203037375</v>
      </c>
      <c r="I264" s="14">
        <f ca="1">IFERROR(IF(Prêt_Non_Payé*Valeurs_Entrées,Intérêts,""), "")</f>
        <v>191.58150075665435</v>
      </c>
      <c r="J264" s="18">
        <f ca="1">IFERROR(IF(Prêt_Non_Payé*Valeurs_Entrées,Fin_Solde,""), "")</f>
        <v>56438.705506685481</v>
      </c>
    </row>
    <row r="265" spans="2:10" ht="17" customHeight="1">
      <c r="D265" s="16">
        <f ca="1">IFERROR(IF(Prêt_Non_Payé*Valeurs_Entrées,Numéro_Paiement,""), "")</f>
        <v>251</v>
      </c>
      <c r="E265" s="17">
        <f ca="1">IFERROR(IF(Prêt_Non_Payé*Valeurs_Entrées,Paiement_Date,""), "")</f>
        <v>52942</v>
      </c>
      <c r="F265" s="14">
        <f ca="1">IFERROR(IF(Prêt_Non_Payé*Valeurs_Entrées,Début_Solde,""), "")</f>
        <v>56438.705506685481</v>
      </c>
      <c r="G265" s="14">
        <f ca="1">IFERROR(IF(Prêt_Non_Payé*Valeurs_Entrées,Mensualité,""), "")</f>
        <v>1227.3262210603918</v>
      </c>
      <c r="H265" s="14">
        <f ca="1">IFERROR(IF(Prêt_Non_Payé*Valeurs_Entrées,Capital,""), "")</f>
        <v>1039.19720270475</v>
      </c>
      <c r="I265" s="14">
        <f ca="1">IFERROR(IF(Prêt_Non_Payé*Valeurs_Entrées,Intérêts,""), "")</f>
        <v>188.12901835564185</v>
      </c>
      <c r="J265" s="18">
        <f ca="1">IFERROR(IF(Prêt_Non_Payé*Valeurs_Entrées,Fin_Solde,""), "")</f>
        <v>55399.508303980692</v>
      </c>
    </row>
    <row r="266" spans="2:10" ht="17" customHeight="1">
      <c r="B266" s="28">
        <v>21</v>
      </c>
      <c r="D266" s="19">
        <f ca="1">IFERROR(IF(Prêt_Non_Payé*Valeurs_Entrées,Numéro_Paiement,""), "")</f>
        <v>252</v>
      </c>
      <c r="E266" s="27">
        <f ca="1">IFERROR(IF(Prêt_Non_Payé*Valeurs_Entrées,Paiement_Date,""), "")</f>
        <v>52973</v>
      </c>
      <c r="F266" s="18">
        <f ca="1">IFERROR(IF(Prêt_Non_Payé*Valeurs_Entrées,Début_Solde,""), "")</f>
        <v>55399.508303980692</v>
      </c>
      <c r="G266" s="18">
        <f ca="1">IFERROR(IF(Prêt_Non_Payé*Valeurs_Entrées,Mensualité,""), "")</f>
        <v>1227.3262210603918</v>
      </c>
      <c r="H266" s="18">
        <f ca="1">IFERROR(IF(Prêt_Non_Payé*Valeurs_Entrées,Capital,""), "")</f>
        <v>1042.6611933804325</v>
      </c>
      <c r="I266" s="18">
        <f ca="1">IFERROR(IF(Prêt_Non_Payé*Valeurs_Entrées,Intérêts,""), "")</f>
        <v>184.66502767995937</v>
      </c>
      <c r="J266" s="18">
        <f ca="1">IFERROR(IF(Prêt_Non_Payé*Valeurs_Entrées,Fin_Solde,""), "")</f>
        <v>54356.847110600211</v>
      </c>
    </row>
    <row r="267" spans="2:10" ht="17" customHeight="1">
      <c r="D267" s="16">
        <f ca="1">IFERROR(IF(Prêt_Non_Payé*Valeurs_Entrées,Numéro_Paiement,""), "")</f>
        <v>253</v>
      </c>
      <c r="E267" s="17">
        <f ca="1">IFERROR(IF(Prêt_Non_Payé*Valeurs_Entrées,Paiement_Date,""), "")</f>
        <v>53004</v>
      </c>
      <c r="F267" s="14">
        <f ca="1">IFERROR(IF(Prêt_Non_Payé*Valeurs_Entrées,Début_Solde,""), "")</f>
        <v>54356.847110600211</v>
      </c>
      <c r="G267" s="14">
        <f ca="1">IFERROR(IF(Prêt_Non_Payé*Valeurs_Entrées,Mensualité,""), "")</f>
        <v>1227.3262210603918</v>
      </c>
      <c r="H267" s="14">
        <f ca="1">IFERROR(IF(Prêt_Non_Payé*Valeurs_Entrées,Capital,""), "")</f>
        <v>1046.1367306917007</v>
      </c>
      <c r="I267" s="14">
        <f ca="1">IFERROR(IF(Prêt_Non_Payé*Valeurs_Entrées,Intérêts,""), "")</f>
        <v>181.18949036869125</v>
      </c>
      <c r="J267" s="18">
        <f ca="1">IFERROR(IF(Prêt_Non_Payé*Valeurs_Entrées,Fin_Solde,""), "")</f>
        <v>53310.71037990856</v>
      </c>
    </row>
    <row r="268" spans="2:10" ht="17" customHeight="1">
      <c r="D268" s="16">
        <f ca="1">IFERROR(IF(Prêt_Non_Payé*Valeurs_Entrées,Numéro_Paiement,""), "")</f>
        <v>254</v>
      </c>
      <c r="E268" s="17">
        <f ca="1">IFERROR(IF(Prêt_Non_Payé*Valeurs_Entrées,Paiement_Date,""), "")</f>
        <v>53032</v>
      </c>
      <c r="F268" s="14">
        <f ca="1">IFERROR(IF(Prêt_Non_Payé*Valeurs_Entrées,Début_Solde,""), "")</f>
        <v>53310.71037990856</v>
      </c>
      <c r="G268" s="14">
        <f ca="1">IFERROR(IF(Prêt_Non_Payé*Valeurs_Entrées,Mensualité,""), "")</f>
        <v>1227.3262210603918</v>
      </c>
      <c r="H268" s="14">
        <f ca="1">IFERROR(IF(Prêt_Non_Payé*Valeurs_Entrées,Capital,""), "")</f>
        <v>1049.6238531273395</v>
      </c>
      <c r="I268" s="14">
        <f ca="1">IFERROR(IF(Prêt_Non_Payé*Valeurs_Entrées,Intérêts,""), "")</f>
        <v>177.70236793305227</v>
      </c>
      <c r="J268" s="18">
        <f ca="1">IFERROR(IF(Prêt_Non_Payé*Valeurs_Entrées,Fin_Solde,""), "")</f>
        <v>52261.086526781088</v>
      </c>
    </row>
    <row r="269" spans="2:10" ht="17" customHeight="1">
      <c r="D269" s="16">
        <f ca="1">IFERROR(IF(Prêt_Non_Payé*Valeurs_Entrées,Numéro_Paiement,""), "")</f>
        <v>255</v>
      </c>
      <c r="E269" s="17">
        <f ca="1">IFERROR(IF(Prêt_Non_Payé*Valeurs_Entrées,Paiement_Date,""), "")</f>
        <v>53063</v>
      </c>
      <c r="F269" s="14">
        <f ca="1">IFERROR(IF(Prêt_Non_Payé*Valeurs_Entrées,Début_Solde,""), "")</f>
        <v>52261.086526781088</v>
      </c>
      <c r="G269" s="14">
        <f ca="1">IFERROR(IF(Prêt_Non_Payé*Valeurs_Entrées,Mensualité,""), "")</f>
        <v>1227.3262210603918</v>
      </c>
      <c r="H269" s="14">
        <f ca="1">IFERROR(IF(Prêt_Non_Payé*Valeurs_Entrées,Capital,""), "")</f>
        <v>1053.1225993044307</v>
      </c>
      <c r="I269" s="14">
        <f ca="1">IFERROR(IF(Prêt_Non_Payé*Valeurs_Entrées,Intérêts,""), "")</f>
        <v>174.20362175596111</v>
      </c>
      <c r="J269" s="18">
        <f ca="1">IFERROR(IF(Prêt_Non_Payé*Valeurs_Entrées,Fin_Solde,""), "")</f>
        <v>51207.963927476492</v>
      </c>
    </row>
    <row r="270" spans="2:10" ht="17" customHeight="1">
      <c r="D270" s="16">
        <f ca="1">IFERROR(IF(Prêt_Non_Payé*Valeurs_Entrées,Numéro_Paiement,""), "")</f>
        <v>256</v>
      </c>
      <c r="E270" s="17">
        <f ca="1">IFERROR(IF(Prêt_Non_Payé*Valeurs_Entrées,Paiement_Date,""), "")</f>
        <v>53093</v>
      </c>
      <c r="F270" s="14">
        <f ca="1">IFERROR(IF(Prêt_Non_Payé*Valeurs_Entrées,Début_Solde,""), "")</f>
        <v>51207.963927476492</v>
      </c>
      <c r="G270" s="14">
        <f ca="1">IFERROR(IF(Prêt_Non_Payé*Valeurs_Entrées,Mensualité,""), "")</f>
        <v>1227.3262210603918</v>
      </c>
      <c r="H270" s="14">
        <f ca="1">IFERROR(IF(Prêt_Non_Payé*Valeurs_Entrées,Capital,""), "")</f>
        <v>1056.6330079687789</v>
      </c>
      <c r="I270" s="14">
        <f ca="1">IFERROR(IF(Prêt_Non_Payé*Valeurs_Entrées,Intérêts,""), "")</f>
        <v>170.69321309161302</v>
      </c>
      <c r="J270" s="18">
        <f ca="1">IFERROR(IF(Prêt_Non_Payé*Valeurs_Entrées,Fin_Solde,""), "")</f>
        <v>50151.330919507716</v>
      </c>
    </row>
    <row r="271" spans="2:10" ht="17" customHeight="1">
      <c r="D271" s="16">
        <f ca="1">IFERROR(IF(Prêt_Non_Payé*Valeurs_Entrées,Numéro_Paiement,""), "")</f>
        <v>257</v>
      </c>
      <c r="E271" s="17">
        <f ca="1">IFERROR(IF(Prêt_Non_Payé*Valeurs_Entrées,Paiement_Date,""), "")</f>
        <v>53124</v>
      </c>
      <c r="F271" s="14">
        <f ca="1">IFERROR(IF(Prêt_Non_Payé*Valeurs_Entrées,Début_Solde,""), "")</f>
        <v>50151.330919507716</v>
      </c>
      <c r="G271" s="14">
        <f ca="1">IFERROR(IF(Prêt_Non_Payé*Valeurs_Entrées,Mensualité,""), "")</f>
        <v>1227.3262210603918</v>
      </c>
      <c r="H271" s="14">
        <f ca="1">IFERROR(IF(Prêt_Non_Payé*Valeurs_Entrées,Capital,""), "")</f>
        <v>1060.1551179953415</v>
      </c>
      <c r="I271" s="14">
        <f ca="1">IFERROR(IF(Prêt_Non_Payé*Valeurs_Entrées,Intérêts,""), "")</f>
        <v>167.17110306505043</v>
      </c>
      <c r="J271" s="18">
        <f ca="1">IFERROR(IF(Prêt_Non_Payé*Valeurs_Entrées,Fin_Solde,""), "")</f>
        <v>49091.175801512378</v>
      </c>
    </row>
    <row r="272" spans="2:10" ht="17" customHeight="1">
      <c r="D272" s="16">
        <f ca="1">IFERROR(IF(Prêt_Non_Payé*Valeurs_Entrées,Numéro_Paiement,""), "")</f>
        <v>258</v>
      </c>
      <c r="E272" s="17">
        <f ca="1">IFERROR(IF(Prêt_Non_Payé*Valeurs_Entrées,Paiement_Date,""), "")</f>
        <v>53154</v>
      </c>
      <c r="F272" s="14">
        <f ca="1">IFERROR(IF(Prêt_Non_Payé*Valeurs_Entrées,Début_Solde,""), "")</f>
        <v>49091.175801512378</v>
      </c>
      <c r="G272" s="14">
        <f ca="1">IFERROR(IF(Prêt_Non_Payé*Valeurs_Entrées,Mensualité,""), "")</f>
        <v>1227.3262210603918</v>
      </c>
      <c r="H272" s="14">
        <f ca="1">IFERROR(IF(Prêt_Non_Payé*Valeurs_Entrées,Capital,""), "")</f>
        <v>1063.6889683886593</v>
      </c>
      <c r="I272" s="14">
        <f ca="1">IFERROR(IF(Prêt_Non_Payé*Valeurs_Entrées,Intérêts,""), "")</f>
        <v>163.6372526717326</v>
      </c>
      <c r="J272" s="18">
        <f ca="1">IFERROR(IF(Prêt_Non_Payé*Valeurs_Entrées,Fin_Solde,""), "")</f>
        <v>48027.486833123548</v>
      </c>
    </row>
    <row r="273" spans="2:10" ht="17" customHeight="1">
      <c r="D273" s="16">
        <f ca="1">IFERROR(IF(Prêt_Non_Payé*Valeurs_Entrées,Numéro_Paiement,""), "")</f>
        <v>259</v>
      </c>
      <c r="E273" s="17">
        <f ca="1">IFERROR(IF(Prêt_Non_Payé*Valeurs_Entrées,Paiement_Date,""), "")</f>
        <v>53185</v>
      </c>
      <c r="F273" s="14">
        <f ca="1">IFERROR(IF(Prêt_Non_Payé*Valeurs_Entrées,Début_Solde,""), "")</f>
        <v>48027.486833123548</v>
      </c>
      <c r="G273" s="14">
        <f ca="1">IFERROR(IF(Prêt_Non_Payé*Valeurs_Entrées,Mensualité,""), "")</f>
        <v>1227.3262210603918</v>
      </c>
      <c r="H273" s="14">
        <f ca="1">IFERROR(IF(Prêt_Non_Payé*Valeurs_Entrées,Capital,""), "")</f>
        <v>1067.2345982832881</v>
      </c>
      <c r="I273" s="14">
        <f ca="1">IFERROR(IF(Prêt_Non_Payé*Valeurs_Entrées,Intérêts,""), "")</f>
        <v>160.09162277710374</v>
      </c>
      <c r="J273" s="18">
        <f ca="1">IFERROR(IF(Prêt_Non_Payé*Valeurs_Entrées,Fin_Solde,""), "")</f>
        <v>46960.252234840242</v>
      </c>
    </row>
    <row r="274" spans="2:10" ht="17" customHeight="1">
      <c r="D274" s="16">
        <f ca="1">IFERROR(IF(Prêt_Non_Payé*Valeurs_Entrées,Numéro_Paiement,""), "")</f>
        <v>260</v>
      </c>
      <c r="E274" s="17">
        <f ca="1">IFERROR(IF(Prêt_Non_Payé*Valeurs_Entrées,Paiement_Date,""), "")</f>
        <v>53216</v>
      </c>
      <c r="F274" s="14">
        <f ca="1">IFERROR(IF(Prêt_Non_Payé*Valeurs_Entrées,Début_Solde,""), "")</f>
        <v>46960.252234840242</v>
      </c>
      <c r="G274" s="14">
        <f ca="1">IFERROR(IF(Prêt_Non_Payé*Valeurs_Entrées,Mensualité,""), "")</f>
        <v>1227.3262210603918</v>
      </c>
      <c r="H274" s="14">
        <f ca="1">IFERROR(IF(Prêt_Non_Payé*Valeurs_Entrées,Capital,""), "")</f>
        <v>1070.7920469442322</v>
      </c>
      <c r="I274" s="14">
        <f ca="1">IFERROR(IF(Prêt_Non_Payé*Valeurs_Entrées,Intérêts,""), "")</f>
        <v>156.53417411615945</v>
      </c>
      <c r="J274" s="18">
        <f ca="1">IFERROR(IF(Prêt_Non_Payé*Valeurs_Entrées,Fin_Solde,""), "")</f>
        <v>45889.460187895922</v>
      </c>
    </row>
    <row r="275" spans="2:10" ht="17" customHeight="1">
      <c r="D275" s="16">
        <f ca="1">IFERROR(IF(Prêt_Non_Payé*Valeurs_Entrées,Numéro_Paiement,""), "")</f>
        <v>261</v>
      </c>
      <c r="E275" s="17">
        <f ca="1">IFERROR(IF(Prêt_Non_Payé*Valeurs_Entrées,Paiement_Date,""), "")</f>
        <v>53246</v>
      </c>
      <c r="F275" s="14">
        <f ca="1">IFERROR(IF(Prêt_Non_Payé*Valeurs_Entrées,Début_Solde,""), "")</f>
        <v>45889.460187895922</v>
      </c>
      <c r="G275" s="14">
        <f ca="1">IFERROR(IF(Prêt_Non_Payé*Valeurs_Entrées,Mensualité,""), "")</f>
        <v>1227.3262210603918</v>
      </c>
      <c r="H275" s="14">
        <f ca="1">IFERROR(IF(Prêt_Non_Payé*Valeurs_Entrées,Capital,""), "")</f>
        <v>1074.3613537673798</v>
      </c>
      <c r="I275" s="14">
        <f ca="1">IFERROR(IF(Prêt_Non_Payé*Valeurs_Entrées,Intérêts,""), "")</f>
        <v>152.96486729301199</v>
      </c>
      <c r="J275" s="18">
        <f ca="1">IFERROR(IF(Prêt_Non_Payé*Valeurs_Entrées,Fin_Solde,""), "")</f>
        <v>44815.098834128585</v>
      </c>
    </row>
    <row r="276" spans="2:10" ht="17" customHeight="1">
      <c r="D276" s="16">
        <f ca="1">IFERROR(IF(Prêt_Non_Payé*Valeurs_Entrées,Numéro_Paiement,""), "")</f>
        <v>262</v>
      </c>
      <c r="E276" s="17">
        <f ca="1">IFERROR(IF(Prêt_Non_Payé*Valeurs_Entrées,Paiement_Date,""), "")</f>
        <v>53277</v>
      </c>
      <c r="F276" s="14">
        <f ca="1">IFERROR(IF(Prêt_Non_Payé*Valeurs_Entrées,Début_Solde,""), "")</f>
        <v>44815.098834128585</v>
      </c>
      <c r="G276" s="14">
        <f ca="1">IFERROR(IF(Prêt_Non_Payé*Valeurs_Entrées,Mensualité,""), "")</f>
        <v>1227.3262210603918</v>
      </c>
      <c r="H276" s="14">
        <f ca="1">IFERROR(IF(Prêt_Non_Payé*Valeurs_Entrées,Capital,""), "")</f>
        <v>1077.9425582799379</v>
      </c>
      <c r="I276" s="14">
        <f ca="1">IFERROR(IF(Prêt_Non_Payé*Valeurs_Entrées,Intérêts,""), "")</f>
        <v>149.38366278045407</v>
      </c>
      <c r="J276" s="18">
        <f ca="1">IFERROR(IF(Prêt_Non_Payé*Valeurs_Entrées,Fin_Solde,""), "")</f>
        <v>43737.156275848509</v>
      </c>
    </row>
    <row r="277" spans="2:10" ht="17" customHeight="1">
      <c r="D277" s="16">
        <f ca="1">IFERROR(IF(Prêt_Non_Payé*Valeurs_Entrées,Numéro_Paiement,""), "")</f>
        <v>263</v>
      </c>
      <c r="E277" s="17">
        <f ca="1">IFERROR(IF(Prêt_Non_Payé*Valeurs_Entrées,Paiement_Date,""), "")</f>
        <v>53307</v>
      </c>
      <c r="F277" s="14">
        <f ca="1">IFERROR(IF(Prêt_Non_Payé*Valeurs_Entrées,Début_Solde,""), "")</f>
        <v>43737.156275848509</v>
      </c>
      <c r="G277" s="14">
        <f ca="1">IFERROR(IF(Prêt_Non_Payé*Valeurs_Entrées,Mensualité,""), "")</f>
        <v>1227.3262210603918</v>
      </c>
      <c r="H277" s="14">
        <f ca="1">IFERROR(IF(Prêt_Non_Payé*Valeurs_Entrées,Capital,""), "")</f>
        <v>1081.5357001408709</v>
      </c>
      <c r="I277" s="14">
        <f ca="1">IFERROR(IF(Prêt_Non_Payé*Valeurs_Entrées,Intérêts,""), "")</f>
        <v>145.79052091952096</v>
      </c>
      <c r="J277" s="18">
        <f ca="1">IFERROR(IF(Prêt_Non_Payé*Valeurs_Entrées,Fin_Solde,""), "")</f>
        <v>42655.62057570758</v>
      </c>
    </row>
    <row r="278" spans="2:10" ht="17" customHeight="1">
      <c r="B278" s="28">
        <v>22</v>
      </c>
      <c r="D278" s="19">
        <f ca="1">IFERROR(IF(Prêt_Non_Payé*Valeurs_Entrées,Numéro_Paiement,""), "")</f>
        <v>264</v>
      </c>
      <c r="E278" s="27">
        <f ca="1">IFERROR(IF(Prêt_Non_Payé*Valeurs_Entrées,Paiement_Date,""), "")</f>
        <v>53338</v>
      </c>
      <c r="F278" s="18">
        <f ca="1">IFERROR(IF(Prêt_Non_Payé*Valeurs_Entrées,Début_Solde,""), "")</f>
        <v>42655.62057570758</v>
      </c>
      <c r="G278" s="18">
        <f ca="1">IFERROR(IF(Prêt_Non_Payé*Valeurs_Entrées,Mensualité,""), "")</f>
        <v>1227.3262210603918</v>
      </c>
      <c r="H278" s="18">
        <f ca="1">IFERROR(IF(Prêt_Non_Payé*Valeurs_Entrées,Capital,""), "")</f>
        <v>1085.1408191413404</v>
      </c>
      <c r="I278" s="18">
        <f ca="1">IFERROR(IF(Prêt_Non_Payé*Valeurs_Entrées,Intérêts,""), "")</f>
        <v>142.18540191905137</v>
      </c>
      <c r="J278" s="18">
        <f ca="1">IFERROR(IF(Prêt_Non_Payé*Valeurs_Entrées,Fin_Solde,""), "")</f>
        <v>41570.479756566288</v>
      </c>
    </row>
    <row r="279" spans="2:10" ht="17" customHeight="1">
      <c r="D279" s="16">
        <f ca="1">IFERROR(IF(Prêt_Non_Payé*Valeurs_Entrées,Numéro_Paiement,""), "")</f>
        <v>265</v>
      </c>
      <c r="E279" s="17">
        <f ca="1">IFERROR(IF(Prêt_Non_Payé*Valeurs_Entrées,Paiement_Date,""), "")</f>
        <v>53369</v>
      </c>
      <c r="F279" s="14">
        <f ca="1">IFERROR(IF(Prêt_Non_Payé*Valeurs_Entrées,Début_Solde,""), "")</f>
        <v>41570.479756566288</v>
      </c>
      <c r="G279" s="14">
        <f ca="1">IFERROR(IF(Prêt_Non_Payé*Valeurs_Entrées,Mensualité,""), "")</f>
        <v>1227.3262210603918</v>
      </c>
      <c r="H279" s="14">
        <f ca="1">IFERROR(IF(Prêt_Non_Payé*Valeurs_Entrées,Capital,""), "")</f>
        <v>1088.757955205145</v>
      </c>
      <c r="I279" s="14">
        <f ca="1">IFERROR(IF(Prêt_Non_Payé*Valeurs_Entrées,Intérêts,""), "")</f>
        <v>138.56826585524692</v>
      </c>
      <c r="J279" s="18">
        <f ca="1">IFERROR(IF(Prêt_Non_Payé*Valeurs_Entrées,Fin_Solde,""), "")</f>
        <v>40481.721801361011</v>
      </c>
    </row>
    <row r="280" spans="2:10" ht="17" customHeight="1">
      <c r="D280" s="16">
        <f ca="1">IFERROR(IF(Prêt_Non_Payé*Valeurs_Entrées,Numéro_Paiement,""), "")</f>
        <v>266</v>
      </c>
      <c r="E280" s="17">
        <f ca="1">IFERROR(IF(Prêt_Non_Payé*Valeurs_Entrées,Paiement_Date,""), "")</f>
        <v>53397</v>
      </c>
      <c r="F280" s="14">
        <f ca="1">IFERROR(IF(Prêt_Non_Payé*Valeurs_Entrées,Début_Solde,""), "")</f>
        <v>40481.721801361011</v>
      </c>
      <c r="G280" s="14">
        <f ca="1">IFERROR(IF(Prêt_Non_Payé*Valeurs_Entrées,Mensualité,""), "")</f>
        <v>1227.3262210603918</v>
      </c>
      <c r="H280" s="14">
        <f ca="1">IFERROR(IF(Prêt_Non_Payé*Valeurs_Entrées,Capital,""), "")</f>
        <v>1092.3871483891621</v>
      </c>
      <c r="I280" s="14">
        <f ca="1">IFERROR(IF(Prêt_Non_Payé*Valeurs_Entrées,Intérêts,""), "")</f>
        <v>134.93907267122975</v>
      </c>
      <c r="J280" s="18">
        <f ca="1">IFERROR(IF(Prêt_Non_Payé*Valeurs_Entrées,Fin_Solde,""), "")</f>
        <v>39389.334652971767</v>
      </c>
    </row>
    <row r="281" spans="2:10" ht="17" customHeight="1">
      <c r="D281" s="16">
        <f ca="1">IFERROR(IF(Prêt_Non_Payé*Valeurs_Entrées,Numéro_Paiement,""), "")</f>
        <v>267</v>
      </c>
      <c r="E281" s="17">
        <f ca="1">IFERROR(IF(Prêt_Non_Payé*Valeurs_Entrées,Paiement_Date,""), "")</f>
        <v>53428</v>
      </c>
      <c r="F281" s="14">
        <f ca="1">IFERROR(IF(Prêt_Non_Payé*Valeurs_Entrées,Début_Solde,""), "")</f>
        <v>39389.334652971767</v>
      </c>
      <c r="G281" s="14">
        <f ca="1">IFERROR(IF(Prêt_Non_Payé*Valeurs_Entrées,Mensualité,""), "")</f>
        <v>1227.3262210603918</v>
      </c>
      <c r="H281" s="14">
        <f ca="1">IFERROR(IF(Prêt_Non_Payé*Valeurs_Entrées,Capital,""), "")</f>
        <v>1096.0284388837924</v>
      </c>
      <c r="I281" s="14">
        <f ca="1">IFERROR(IF(Prêt_Non_Payé*Valeurs_Entrées,Intérêts,""), "")</f>
        <v>131.29778217659921</v>
      </c>
      <c r="J281" s="18">
        <f ca="1">IFERROR(IF(Prêt_Non_Payé*Valeurs_Entrées,Fin_Solde,""), "")</f>
        <v>38293.306214087876</v>
      </c>
    </row>
    <row r="282" spans="2:10" ht="17" customHeight="1">
      <c r="D282" s="16">
        <f ca="1">IFERROR(IF(Prêt_Non_Payé*Valeurs_Entrées,Numéro_Paiement,""), "")</f>
        <v>268</v>
      </c>
      <c r="E282" s="17">
        <f ca="1">IFERROR(IF(Prêt_Non_Payé*Valeurs_Entrées,Paiement_Date,""), "")</f>
        <v>53458</v>
      </c>
      <c r="F282" s="14">
        <f ca="1">IFERROR(IF(Prêt_Non_Payé*Valeurs_Entrées,Début_Solde,""), "")</f>
        <v>38293.306214087876</v>
      </c>
      <c r="G282" s="14">
        <f ca="1">IFERROR(IF(Prêt_Non_Payé*Valeurs_Entrées,Mensualité,""), "")</f>
        <v>1227.3262210603918</v>
      </c>
      <c r="H282" s="14">
        <f ca="1">IFERROR(IF(Prêt_Non_Payé*Valeurs_Entrées,Capital,""), "")</f>
        <v>1099.6818670134053</v>
      </c>
      <c r="I282" s="14">
        <f ca="1">IFERROR(IF(Prêt_Non_Payé*Valeurs_Entrées,Intérêts,""), "")</f>
        <v>127.64435404698659</v>
      </c>
      <c r="J282" s="18">
        <f ca="1">IFERROR(IF(Prêt_Non_Payé*Valeurs_Entrées,Fin_Solde,""), "")</f>
        <v>37193.624347074539</v>
      </c>
    </row>
    <row r="283" spans="2:10" ht="17" customHeight="1">
      <c r="D283" s="16">
        <f ca="1">IFERROR(IF(Prêt_Non_Payé*Valeurs_Entrées,Numéro_Paiement,""), "")</f>
        <v>269</v>
      </c>
      <c r="E283" s="17">
        <f ca="1">IFERROR(IF(Prêt_Non_Payé*Valeurs_Entrées,Paiement_Date,""), "")</f>
        <v>53489</v>
      </c>
      <c r="F283" s="14">
        <f ca="1">IFERROR(IF(Prêt_Non_Payé*Valeurs_Entrées,Début_Solde,""), "")</f>
        <v>37193.624347074539</v>
      </c>
      <c r="G283" s="14">
        <f ca="1">IFERROR(IF(Prêt_Non_Payé*Valeurs_Entrées,Mensualité,""), "")</f>
        <v>1227.3262210603918</v>
      </c>
      <c r="H283" s="14">
        <f ca="1">IFERROR(IF(Prêt_Non_Payé*Valeurs_Entrées,Capital,""), "")</f>
        <v>1103.3474732367833</v>
      </c>
      <c r="I283" s="14">
        <f ca="1">IFERROR(IF(Prêt_Non_Payé*Valeurs_Entrées,Intérêts,""), "")</f>
        <v>123.97874782360856</v>
      </c>
      <c r="J283" s="18">
        <f ca="1">IFERROR(IF(Prêt_Non_Payé*Valeurs_Entrées,Fin_Solde,""), "")</f>
        <v>36090.276873837691</v>
      </c>
    </row>
    <row r="284" spans="2:10" ht="17" customHeight="1">
      <c r="D284" s="16">
        <f ca="1">IFERROR(IF(Prêt_Non_Payé*Valeurs_Entrées,Numéro_Paiement,""), "")</f>
        <v>270</v>
      </c>
      <c r="E284" s="17">
        <f ca="1">IFERROR(IF(Prêt_Non_Payé*Valeurs_Entrées,Paiement_Date,""), "")</f>
        <v>53519</v>
      </c>
      <c r="F284" s="14">
        <f ca="1">IFERROR(IF(Prêt_Non_Payé*Valeurs_Entrées,Début_Solde,""), "")</f>
        <v>36090.276873837691</v>
      </c>
      <c r="G284" s="14">
        <f ca="1">IFERROR(IF(Prêt_Non_Payé*Valeurs_Entrées,Mensualité,""), "")</f>
        <v>1227.3262210603918</v>
      </c>
      <c r="H284" s="14">
        <f ca="1">IFERROR(IF(Prêt_Non_Payé*Valeurs_Entrées,Capital,""), "")</f>
        <v>1107.0252981475726</v>
      </c>
      <c r="I284" s="14">
        <f ca="1">IFERROR(IF(Prêt_Non_Payé*Valeurs_Entrées,Intérêts,""), "")</f>
        <v>120.30092291281927</v>
      </c>
      <c r="J284" s="18">
        <f ca="1">IFERROR(IF(Prêt_Non_Payé*Valeurs_Entrées,Fin_Solde,""), "")</f>
        <v>34983.251575689996</v>
      </c>
    </row>
    <row r="285" spans="2:10" ht="17" customHeight="1">
      <c r="D285" s="16">
        <f ca="1">IFERROR(IF(Prêt_Non_Payé*Valeurs_Entrées,Numéro_Paiement,""), "")</f>
        <v>271</v>
      </c>
      <c r="E285" s="17">
        <f ca="1">IFERROR(IF(Prêt_Non_Payé*Valeurs_Entrées,Paiement_Date,""), "")</f>
        <v>53550</v>
      </c>
      <c r="F285" s="14">
        <f ca="1">IFERROR(IF(Prêt_Non_Payé*Valeurs_Entrées,Début_Solde,""), "")</f>
        <v>34983.251575689996</v>
      </c>
      <c r="G285" s="14">
        <f ca="1">IFERROR(IF(Prêt_Non_Payé*Valeurs_Entrées,Mensualité,""), "")</f>
        <v>1227.3262210603918</v>
      </c>
      <c r="H285" s="14">
        <f ca="1">IFERROR(IF(Prêt_Non_Payé*Valeurs_Entrées,Capital,""), "")</f>
        <v>1110.7153824747311</v>
      </c>
      <c r="I285" s="14">
        <f ca="1">IFERROR(IF(Prêt_Non_Payé*Valeurs_Entrées,Intérêts,""), "")</f>
        <v>116.61083858566073</v>
      </c>
      <c r="J285" s="18">
        <f ca="1">IFERROR(IF(Prêt_Non_Payé*Valeurs_Entrées,Fin_Solde,""), "")</f>
        <v>33872.536193215172</v>
      </c>
    </row>
    <row r="286" spans="2:10" ht="17" customHeight="1">
      <c r="D286" s="16">
        <f ca="1">IFERROR(IF(Prêt_Non_Payé*Valeurs_Entrées,Numéro_Paiement,""), "")</f>
        <v>272</v>
      </c>
      <c r="E286" s="17">
        <f ca="1">IFERROR(IF(Prêt_Non_Payé*Valeurs_Entrées,Paiement_Date,""), "")</f>
        <v>53581</v>
      </c>
      <c r="F286" s="14">
        <f ca="1">IFERROR(IF(Prêt_Non_Payé*Valeurs_Entrées,Début_Solde,""), "")</f>
        <v>33872.536193215172</v>
      </c>
      <c r="G286" s="14">
        <f ca="1">IFERROR(IF(Prêt_Non_Payé*Valeurs_Entrées,Mensualité,""), "")</f>
        <v>1227.3262210603918</v>
      </c>
      <c r="H286" s="14">
        <f ca="1">IFERROR(IF(Prêt_Non_Payé*Valeurs_Entrées,Capital,""), "")</f>
        <v>1114.4177670829802</v>
      </c>
      <c r="I286" s="14">
        <f ca="1">IFERROR(IF(Prêt_Non_Payé*Valeurs_Entrées,Intérêts,""), "")</f>
        <v>112.90845397741161</v>
      </c>
      <c r="J286" s="18">
        <f ca="1">IFERROR(IF(Prêt_Non_Payé*Valeurs_Entrées,Fin_Solde,""), "")</f>
        <v>32758.118426132249</v>
      </c>
    </row>
    <row r="287" spans="2:10" ht="17" customHeight="1">
      <c r="D287" s="16">
        <f ca="1">IFERROR(IF(Prêt_Non_Payé*Valeurs_Entrées,Numéro_Paiement,""), "")</f>
        <v>273</v>
      </c>
      <c r="E287" s="17">
        <f ca="1">IFERROR(IF(Prêt_Non_Payé*Valeurs_Entrées,Paiement_Date,""), "")</f>
        <v>53611</v>
      </c>
      <c r="F287" s="14">
        <f ca="1">IFERROR(IF(Prêt_Non_Payé*Valeurs_Entrées,Début_Solde,""), "")</f>
        <v>32758.118426132249</v>
      </c>
      <c r="G287" s="14">
        <f ca="1">IFERROR(IF(Prêt_Non_Payé*Valeurs_Entrées,Mensualité,""), "")</f>
        <v>1227.3262210603918</v>
      </c>
      <c r="H287" s="14">
        <f ca="1">IFERROR(IF(Prêt_Non_Payé*Valeurs_Entrées,Capital,""), "")</f>
        <v>1118.1324929732568</v>
      </c>
      <c r="I287" s="14">
        <f ca="1">IFERROR(IF(Prêt_Non_Payé*Valeurs_Entrées,Intérêts,""), "")</f>
        <v>109.193728087135</v>
      </c>
      <c r="J287" s="18">
        <f ca="1">IFERROR(IF(Prêt_Non_Payé*Valeurs_Entrées,Fin_Solde,""), "")</f>
        <v>31639.98593315878</v>
      </c>
    </row>
    <row r="288" spans="2:10" ht="17" customHeight="1">
      <c r="D288" s="16">
        <f ca="1">IFERROR(IF(Prêt_Non_Payé*Valeurs_Entrées,Numéro_Paiement,""), "")</f>
        <v>274</v>
      </c>
      <c r="E288" s="17">
        <f ca="1">IFERROR(IF(Prêt_Non_Payé*Valeurs_Entrées,Paiement_Date,""), "")</f>
        <v>53642</v>
      </c>
      <c r="F288" s="14">
        <f ca="1">IFERROR(IF(Prêt_Non_Payé*Valeurs_Entrées,Début_Solde,""), "")</f>
        <v>31639.98593315878</v>
      </c>
      <c r="G288" s="14">
        <f ca="1">IFERROR(IF(Prêt_Non_Payé*Valeurs_Entrées,Mensualité,""), "")</f>
        <v>1227.3262210603918</v>
      </c>
      <c r="H288" s="14">
        <f ca="1">IFERROR(IF(Prêt_Non_Payé*Valeurs_Entrées,Capital,""), "")</f>
        <v>1121.8596012831679</v>
      </c>
      <c r="I288" s="14">
        <f ca="1">IFERROR(IF(Prêt_Non_Payé*Valeurs_Entrées,Intérêts,""), "")</f>
        <v>105.46661977722414</v>
      </c>
      <c r="J288" s="18">
        <f ca="1">IFERROR(IF(Prêt_Non_Payé*Valeurs_Entrées,Fin_Solde,""), "")</f>
        <v>30518.126331875683</v>
      </c>
    </row>
    <row r="289" spans="2:10" ht="17" customHeight="1">
      <c r="D289" s="16">
        <f ca="1">IFERROR(IF(Prêt_Non_Payé*Valeurs_Entrées,Numéro_Paiement,""), "")</f>
        <v>275</v>
      </c>
      <c r="E289" s="17">
        <f ca="1">IFERROR(IF(Prêt_Non_Payé*Valeurs_Entrées,Paiement_Date,""), "")</f>
        <v>53672</v>
      </c>
      <c r="F289" s="14">
        <f ca="1">IFERROR(IF(Prêt_Non_Payé*Valeurs_Entrées,Début_Solde,""), "")</f>
        <v>30518.126331875683</v>
      </c>
      <c r="G289" s="14">
        <f ca="1">IFERROR(IF(Prêt_Non_Payé*Valeurs_Entrées,Mensualité,""), "")</f>
        <v>1227.3262210603918</v>
      </c>
      <c r="H289" s="14">
        <f ca="1">IFERROR(IF(Prêt_Non_Payé*Valeurs_Entrées,Capital,""), "")</f>
        <v>1125.5991332874451</v>
      </c>
      <c r="I289" s="14">
        <f ca="1">IFERROR(IF(Prêt_Non_Payé*Valeurs_Entrées,Intérêts,""), "")</f>
        <v>101.72708777294693</v>
      </c>
      <c r="J289" s="18">
        <f ca="1">IFERROR(IF(Prêt_Non_Payé*Valeurs_Entrées,Fin_Solde,""), "")</f>
        <v>29392.527198588126</v>
      </c>
    </row>
    <row r="290" spans="2:10" ht="17" customHeight="1">
      <c r="B290" s="28">
        <v>23</v>
      </c>
      <c r="D290" s="19">
        <f ca="1">IFERROR(IF(Prêt_Non_Payé*Valeurs_Entrées,Numéro_Paiement,""), "")</f>
        <v>276</v>
      </c>
      <c r="E290" s="27">
        <f ca="1">IFERROR(IF(Prêt_Non_Payé*Valeurs_Entrées,Paiement_Date,""), "")</f>
        <v>53703</v>
      </c>
      <c r="F290" s="18">
        <f ca="1">IFERROR(IF(Prêt_Non_Payé*Valeurs_Entrées,Début_Solde,""), "")</f>
        <v>29392.527198588126</v>
      </c>
      <c r="G290" s="18">
        <f ca="1">IFERROR(IF(Prêt_Non_Payé*Valeurs_Entrées,Mensualité,""), "")</f>
        <v>1227.3262210603918</v>
      </c>
      <c r="H290" s="18">
        <f ca="1">IFERROR(IF(Prêt_Non_Payé*Valeurs_Entrées,Capital,""), "")</f>
        <v>1129.351130398403</v>
      </c>
      <c r="I290" s="18">
        <f ca="1">IFERROR(IF(Prêt_Non_Payé*Valeurs_Entrées,Intérêts,""), "")</f>
        <v>97.975090661988787</v>
      </c>
      <c r="J290" s="18">
        <f ca="1">IFERROR(IF(Prêt_Non_Payé*Valeurs_Entrées,Fin_Solde,""), "")</f>
        <v>28263.17606818967</v>
      </c>
    </row>
    <row r="291" spans="2:10" ht="17" customHeight="1">
      <c r="D291" s="16">
        <f ca="1">IFERROR(IF(Prêt_Non_Payé*Valeurs_Entrées,Numéro_Paiement,""), "")</f>
        <v>277</v>
      </c>
      <c r="E291" s="17">
        <f ca="1">IFERROR(IF(Prêt_Non_Payé*Valeurs_Entrées,Paiement_Date,""), "")</f>
        <v>53734</v>
      </c>
      <c r="F291" s="14">
        <f ca="1">IFERROR(IF(Prêt_Non_Payé*Valeurs_Entrées,Début_Solde,""), "")</f>
        <v>28263.17606818967</v>
      </c>
      <c r="G291" s="14">
        <f ca="1">IFERROR(IF(Prêt_Non_Payé*Valeurs_Entrées,Mensualité,""), "")</f>
        <v>1227.3262210603918</v>
      </c>
      <c r="H291" s="14">
        <f ca="1">IFERROR(IF(Prêt_Non_Payé*Valeurs_Entrées,Capital,""), "")</f>
        <v>1133.1156341663977</v>
      </c>
      <c r="I291" s="14">
        <f ca="1">IFERROR(IF(Prêt_Non_Payé*Valeurs_Entrées,Intérêts,""), "")</f>
        <v>94.210586893994105</v>
      </c>
      <c r="J291" s="18">
        <f ca="1">IFERROR(IF(Prêt_Non_Payé*Valeurs_Entrées,Fin_Solde,""), "")</f>
        <v>27130.060434023268</v>
      </c>
    </row>
    <row r="292" spans="2:10" ht="17" customHeight="1">
      <c r="D292" s="16">
        <f ca="1">IFERROR(IF(Prêt_Non_Payé*Valeurs_Entrées,Numéro_Paiement,""), "")</f>
        <v>278</v>
      </c>
      <c r="E292" s="17">
        <f ca="1">IFERROR(IF(Prêt_Non_Payé*Valeurs_Entrées,Paiement_Date,""), "")</f>
        <v>53762</v>
      </c>
      <c r="F292" s="14">
        <f ca="1">IFERROR(IF(Prêt_Non_Payé*Valeurs_Entrées,Début_Solde,""), "")</f>
        <v>27130.060434023268</v>
      </c>
      <c r="G292" s="14">
        <f ca="1">IFERROR(IF(Prêt_Non_Payé*Valeurs_Entrées,Mensualité,""), "")</f>
        <v>1227.3262210603918</v>
      </c>
      <c r="H292" s="14">
        <f ca="1">IFERROR(IF(Prêt_Non_Payé*Valeurs_Entrées,Capital,""), "")</f>
        <v>1136.8926862802857</v>
      </c>
      <c r="I292" s="14">
        <f ca="1">IFERROR(IF(Prêt_Non_Payé*Valeurs_Entrées,Intérêts,""), "")</f>
        <v>90.4335347801061</v>
      </c>
      <c r="J292" s="18">
        <f ca="1">IFERROR(IF(Prêt_Non_Payé*Valeurs_Entrées,Fin_Solde,""), "")</f>
        <v>25993.167747742846</v>
      </c>
    </row>
    <row r="293" spans="2:10" ht="17" customHeight="1">
      <c r="D293" s="16">
        <f ca="1">IFERROR(IF(Prêt_Non_Payé*Valeurs_Entrées,Numéro_Paiement,""), "")</f>
        <v>279</v>
      </c>
      <c r="E293" s="17">
        <f ca="1">IFERROR(IF(Prêt_Non_Payé*Valeurs_Entrées,Paiement_Date,""), "")</f>
        <v>53793</v>
      </c>
      <c r="F293" s="14">
        <f ca="1">IFERROR(IF(Prêt_Non_Payé*Valeurs_Entrées,Début_Solde,""), "")</f>
        <v>25993.167747742846</v>
      </c>
      <c r="G293" s="14">
        <f ca="1">IFERROR(IF(Prêt_Non_Payé*Valeurs_Entrées,Mensualité,""), "")</f>
        <v>1227.3262210603918</v>
      </c>
      <c r="H293" s="14">
        <f ca="1">IFERROR(IF(Prêt_Non_Payé*Valeurs_Entrées,Capital,""), "")</f>
        <v>1140.6823285678868</v>
      </c>
      <c r="I293" s="14">
        <f ca="1">IFERROR(IF(Prêt_Non_Payé*Valeurs_Entrées,Intérêts,""), "")</f>
        <v>86.643892492505159</v>
      </c>
      <c r="J293" s="18">
        <f ca="1">IFERROR(IF(Prêt_Non_Payé*Valeurs_Entrées,Fin_Solde,""), "")</f>
        <v>24852.485419175006</v>
      </c>
    </row>
    <row r="294" spans="2:10" ht="17" customHeight="1">
      <c r="D294" s="16">
        <f ca="1">IFERROR(IF(Prêt_Non_Payé*Valeurs_Entrées,Numéro_Paiement,""), "")</f>
        <v>280</v>
      </c>
      <c r="E294" s="17">
        <f ca="1">IFERROR(IF(Prêt_Non_Payé*Valeurs_Entrées,Paiement_Date,""), "")</f>
        <v>53823</v>
      </c>
      <c r="F294" s="14">
        <f ca="1">IFERROR(IF(Prêt_Non_Payé*Valeurs_Entrées,Début_Solde,""), "")</f>
        <v>24852.485419175006</v>
      </c>
      <c r="G294" s="14">
        <f ca="1">IFERROR(IF(Prêt_Non_Payé*Valeurs_Entrées,Mensualité,""), "")</f>
        <v>1227.3262210603918</v>
      </c>
      <c r="H294" s="14">
        <f ca="1">IFERROR(IF(Prêt_Non_Payé*Valeurs_Entrées,Capital,""), "")</f>
        <v>1144.4846029964463</v>
      </c>
      <c r="I294" s="14">
        <f ca="1">IFERROR(IF(Prêt_Non_Payé*Valeurs_Entrées,Intérêts,""), "")</f>
        <v>82.841618063945532</v>
      </c>
      <c r="J294" s="18">
        <f ca="1">IFERROR(IF(Prêt_Non_Payé*Valeurs_Entrées,Fin_Solde,""), "")</f>
        <v>23708.000816178508</v>
      </c>
    </row>
    <row r="295" spans="2:10" ht="17" customHeight="1">
      <c r="D295" s="16">
        <f ca="1">IFERROR(IF(Prêt_Non_Payé*Valeurs_Entrées,Numéro_Paiement,""), "")</f>
        <v>281</v>
      </c>
      <c r="E295" s="17">
        <f ca="1">IFERROR(IF(Prêt_Non_Payé*Valeurs_Entrées,Paiement_Date,""), "")</f>
        <v>53854</v>
      </c>
      <c r="F295" s="14">
        <f ca="1">IFERROR(IF(Prêt_Non_Payé*Valeurs_Entrées,Début_Solde,""), "")</f>
        <v>23708.000816178508</v>
      </c>
      <c r="G295" s="14">
        <f ca="1">IFERROR(IF(Prêt_Non_Payé*Valeurs_Entrées,Mensualité,""), "")</f>
        <v>1227.3262210603918</v>
      </c>
      <c r="H295" s="14">
        <f ca="1">IFERROR(IF(Prêt_Non_Payé*Valeurs_Entrées,Capital,""), "")</f>
        <v>1148.2995516731012</v>
      </c>
      <c r="I295" s="14">
        <f ca="1">IFERROR(IF(Prêt_Non_Payé*Valeurs_Entrées,Intérêts,""), "")</f>
        <v>79.026669387290724</v>
      </c>
      <c r="J295" s="18">
        <f ca="1">IFERROR(IF(Prêt_Non_Payé*Valeurs_Entrées,Fin_Solde,""), "")</f>
        <v>22559.701264505391</v>
      </c>
    </row>
    <row r="296" spans="2:10" ht="17" customHeight="1">
      <c r="D296" s="16">
        <f ca="1">IFERROR(IF(Prêt_Non_Payé*Valeurs_Entrées,Numéro_Paiement,""), "")</f>
        <v>282</v>
      </c>
      <c r="E296" s="17">
        <f ca="1">IFERROR(IF(Prêt_Non_Payé*Valeurs_Entrées,Paiement_Date,""), "")</f>
        <v>53884</v>
      </c>
      <c r="F296" s="14">
        <f ca="1">IFERROR(IF(Prêt_Non_Payé*Valeurs_Entrées,Début_Solde,""), "")</f>
        <v>22559.701264505391</v>
      </c>
      <c r="G296" s="14">
        <f ca="1">IFERROR(IF(Prêt_Non_Payé*Valeurs_Entrées,Mensualité,""), "")</f>
        <v>1227.3262210603918</v>
      </c>
      <c r="H296" s="14">
        <f ca="1">IFERROR(IF(Prêt_Non_Payé*Valeurs_Entrées,Capital,""), "")</f>
        <v>1152.1272168453447</v>
      </c>
      <c r="I296" s="14">
        <f ca="1">IFERROR(IF(Prêt_Non_Payé*Valeurs_Entrées,Intérêts,""), "")</f>
        <v>75.199004215047026</v>
      </c>
      <c r="J296" s="18">
        <f ca="1">IFERROR(IF(Prêt_Non_Payé*Valeurs_Entrées,Fin_Solde,""), "")</f>
        <v>21407.574047659873</v>
      </c>
    </row>
    <row r="297" spans="2:10" ht="17" customHeight="1">
      <c r="D297" s="16">
        <f ca="1">IFERROR(IF(Prêt_Non_Payé*Valeurs_Entrées,Numéro_Paiement,""), "")</f>
        <v>283</v>
      </c>
      <c r="E297" s="17">
        <f ca="1">IFERROR(IF(Prêt_Non_Payé*Valeurs_Entrées,Paiement_Date,""), "")</f>
        <v>53915</v>
      </c>
      <c r="F297" s="14">
        <f ca="1">IFERROR(IF(Prêt_Non_Payé*Valeurs_Entrées,Début_Solde,""), "")</f>
        <v>21407.574047659873</v>
      </c>
      <c r="G297" s="14">
        <f ca="1">IFERROR(IF(Prêt_Non_Payé*Valeurs_Entrées,Mensualité,""), "")</f>
        <v>1227.3262210603918</v>
      </c>
      <c r="H297" s="14">
        <f ca="1">IFERROR(IF(Prêt_Non_Payé*Valeurs_Entrées,Capital,""), "")</f>
        <v>1155.967640901496</v>
      </c>
      <c r="I297" s="14">
        <f ca="1">IFERROR(IF(Prêt_Non_Payé*Valeurs_Entrées,Intérêts,""), "")</f>
        <v>71.35858015889589</v>
      </c>
      <c r="J297" s="18">
        <f ca="1">IFERROR(IF(Prêt_Non_Payé*Valeurs_Entrées,Fin_Solde,""), "")</f>
        <v>20251.606406758307</v>
      </c>
    </row>
    <row r="298" spans="2:10" ht="17" customHeight="1">
      <c r="D298" s="16">
        <f ca="1">IFERROR(IF(Prêt_Non_Payé*Valeurs_Entrées,Numéro_Paiement,""), "")</f>
        <v>284</v>
      </c>
      <c r="E298" s="17">
        <f ca="1">IFERROR(IF(Prêt_Non_Payé*Valeurs_Entrées,Paiement_Date,""), "")</f>
        <v>53946</v>
      </c>
      <c r="F298" s="14">
        <f ca="1">IFERROR(IF(Prêt_Non_Payé*Valeurs_Entrées,Début_Solde,""), "")</f>
        <v>20251.606406758307</v>
      </c>
      <c r="G298" s="14">
        <f ca="1">IFERROR(IF(Prêt_Non_Payé*Valeurs_Entrées,Mensualité,""), "")</f>
        <v>1227.3262210603918</v>
      </c>
      <c r="H298" s="14">
        <f ca="1">IFERROR(IF(Prêt_Non_Payé*Valeurs_Entrées,Capital,""), "")</f>
        <v>1159.8208663711675</v>
      </c>
      <c r="I298" s="14">
        <f ca="1">IFERROR(IF(Prêt_Non_Payé*Valeurs_Entrées,Intérêts,""), "")</f>
        <v>67.505354689224234</v>
      </c>
      <c r="J298" s="18">
        <f ca="1">IFERROR(IF(Prêt_Non_Payé*Valeurs_Entrées,Fin_Solde,""), "")</f>
        <v>19091.785540387151</v>
      </c>
    </row>
    <row r="299" spans="2:10" ht="17" customHeight="1">
      <c r="D299" s="16">
        <f ca="1">IFERROR(IF(Prêt_Non_Payé*Valeurs_Entrées,Numéro_Paiement,""), "")</f>
        <v>285</v>
      </c>
      <c r="E299" s="17">
        <f ca="1">IFERROR(IF(Prêt_Non_Payé*Valeurs_Entrées,Paiement_Date,""), "")</f>
        <v>53976</v>
      </c>
      <c r="F299" s="14">
        <f ca="1">IFERROR(IF(Prêt_Non_Payé*Valeurs_Entrées,Début_Solde,""), "")</f>
        <v>19091.785540387151</v>
      </c>
      <c r="G299" s="14">
        <f ca="1">IFERROR(IF(Prêt_Non_Payé*Valeurs_Entrées,Mensualité,""), "")</f>
        <v>1227.3262210603918</v>
      </c>
      <c r="H299" s="14">
        <f ca="1">IFERROR(IF(Prêt_Non_Payé*Valeurs_Entrées,Capital,""), "")</f>
        <v>1163.6869359257382</v>
      </c>
      <c r="I299" s="14">
        <f ca="1">IFERROR(IF(Prêt_Non_Payé*Valeurs_Entrées,Intérêts,""), "")</f>
        <v>63.639285134653669</v>
      </c>
      <c r="J299" s="18">
        <f ca="1">IFERROR(IF(Prêt_Non_Payé*Valeurs_Entrées,Fin_Solde,""), "")</f>
        <v>17928.098604461411</v>
      </c>
    </row>
    <row r="300" spans="2:10" ht="17" customHeight="1">
      <c r="D300" s="16">
        <f ca="1">IFERROR(IF(Prêt_Non_Payé*Valeurs_Entrées,Numéro_Paiement,""), "")</f>
        <v>286</v>
      </c>
      <c r="E300" s="17">
        <f ca="1">IFERROR(IF(Prêt_Non_Payé*Valeurs_Entrées,Paiement_Date,""), "")</f>
        <v>54007</v>
      </c>
      <c r="F300" s="14">
        <f ca="1">IFERROR(IF(Prêt_Non_Payé*Valeurs_Entrées,Début_Solde,""), "")</f>
        <v>17928.098604461411</v>
      </c>
      <c r="G300" s="14">
        <f ca="1">IFERROR(IF(Prêt_Non_Payé*Valeurs_Entrées,Mensualité,""), "")</f>
        <v>1227.3262210603918</v>
      </c>
      <c r="H300" s="14">
        <f ca="1">IFERROR(IF(Prêt_Non_Payé*Valeurs_Entrées,Capital,""), "")</f>
        <v>1167.5658923788239</v>
      </c>
      <c r="I300" s="14">
        <f ca="1">IFERROR(IF(Prêt_Non_Payé*Valeurs_Entrées,Intérêts,""), "")</f>
        <v>59.760328681567898</v>
      </c>
      <c r="J300" s="18">
        <f ca="1">IFERROR(IF(Prêt_Non_Payé*Valeurs_Entrées,Fin_Solde,""), "")</f>
        <v>16760.532712082495</v>
      </c>
    </row>
    <row r="301" spans="2:10" ht="17" customHeight="1">
      <c r="D301" s="16">
        <f ca="1">IFERROR(IF(Prêt_Non_Payé*Valeurs_Entrées,Numéro_Paiement,""), "")</f>
        <v>287</v>
      </c>
      <c r="E301" s="17">
        <f ca="1">IFERROR(IF(Prêt_Non_Payé*Valeurs_Entrées,Paiement_Date,""), "")</f>
        <v>54037</v>
      </c>
      <c r="F301" s="14">
        <f ca="1">IFERROR(IF(Prêt_Non_Payé*Valeurs_Entrées,Début_Solde,""), "")</f>
        <v>16760.532712082495</v>
      </c>
      <c r="G301" s="14">
        <f ca="1">IFERROR(IF(Prêt_Non_Payé*Valeurs_Entrées,Mensualité,""), "")</f>
        <v>1227.3262210603918</v>
      </c>
      <c r="H301" s="14">
        <f ca="1">IFERROR(IF(Prêt_Non_Payé*Valeurs_Entrées,Capital,""), "")</f>
        <v>1171.4577786867535</v>
      </c>
      <c r="I301" s="14">
        <f ca="1">IFERROR(IF(Prêt_Non_Payé*Valeurs_Entrées,Intérêts,""), "")</f>
        <v>55.868442373638466</v>
      </c>
      <c r="J301" s="18">
        <f ca="1">IFERROR(IF(Prêt_Non_Payé*Valeurs_Entrées,Fin_Solde,""), "")</f>
        <v>15589.074933395721</v>
      </c>
    </row>
    <row r="302" spans="2:10" ht="17" customHeight="1">
      <c r="B302" s="28">
        <v>24</v>
      </c>
      <c r="D302" s="19">
        <f ca="1">IFERROR(IF(Prêt_Non_Payé*Valeurs_Entrées,Numéro_Paiement,""), "")</f>
        <v>288</v>
      </c>
      <c r="E302" s="27">
        <f ca="1">IFERROR(IF(Prêt_Non_Payé*Valeurs_Entrées,Paiement_Date,""), "")</f>
        <v>54068</v>
      </c>
      <c r="F302" s="18">
        <f ca="1">IFERROR(IF(Prêt_Non_Payé*Valeurs_Entrées,Début_Solde,""), "")</f>
        <v>15589.074933395721</v>
      </c>
      <c r="G302" s="18">
        <f ca="1">IFERROR(IF(Prêt_Non_Payé*Valeurs_Entrées,Mensualité,""), "")</f>
        <v>1227.3262210603918</v>
      </c>
      <c r="H302" s="18">
        <f ca="1">IFERROR(IF(Prêt_Non_Payé*Valeurs_Entrées,Capital,""), "")</f>
        <v>1175.3626379490424</v>
      </c>
      <c r="I302" s="18">
        <f ca="1">IFERROR(IF(Prêt_Non_Payé*Valeurs_Entrées,Intérêts,""), "")</f>
        <v>51.963583111349301</v>
      </c>
      <c r="J302" s="18">
        <f ca="1">IFERROR(IF(Prêt_Non_Payé*Valeurs_Entrées,Fin_Solde,""), "")</f>
        <v>14413.712295446428</v>
      </c>
    </row>
    <row r="303" spans="2:10" ht="17" customHeight="1">
      <c r="D303" s="16">
        <f ca="1">IFERROR(IF(Prêt_Non_Payé*Valeurs_Entrées,Numéro_Paiement,""), "")</f>
        <v>289</v>
      </c>
      <c r="E303" s="17">
        <f ca="1">IFERROR(IF(Prêt_Non_Payé*Valeurs_Entrées,Paiement_Date,""), "")</f>
        <v>54099</v>
      </c>
      <c r="F303" s="14">
        <f ca="1">IFERROR(IF(Prêt_Non_Payé*Valeurs_Entrées,Début_Solde,""), "")</f>
        <v>14413.712295446428</v>
      </c>
      <c r="G303" s="14">
        <f ca="1">IFERROR(IF(Prêt_Non_Payé*Valeurs_Entrées,Mensualité,""), "")</f>
        <v>1227.3262210603918</v>
      </c>
      <c r="H303" s="14">
        <f ca="1">IFERROR(IF(Prêt_Non_Payé*Valeurs_Entrées,Capital,""), "")</f>
        <v>1179.2805134088728</v>
      </c>
      <c r="I303" s="14">
        <f ca="1">IFERROR(IF(Prêt_Non_Payé*Valeurs_Entrées,Intérêts,""), "")</f>
        <v>48.045707651519152</v>
      </c>
      <c r="J303" s="18">
        <f ca="1">IFERROR(IF(Prêt_Non_Payé*Valeurs_Entrées,Fin_Solde,""), "")</f>
        <v>13234.431782037602</v>
      </c>
    </row>
    <row r="304" spans="2:10" ht="17" customHeight="1">
      <c r="D304" s="16">
        <f ca="1">IFERROR(IF(Prêt_Non_Payé*Valeurs_Entrées,Numéro_Paiement,""), "")</f>
        <v>290</v>
      </c>
      <c r="E304" s="17">
        <f ca="1">IFERROR(IF(Prêt_Non_Payé*Valeurs_Entrées,Paiement_Date,""), "")</f>
        <v>54128</v>
      </c>
      <c r="F304" s="14">
        <f ca="1">IFERROR(IF(Prêt_Non_Payé*Valeurs_Entrées,Début_Solde,""), "")</f>
        <v>13234.431782037602</v>
      </c>
      <c r="G304" s="14">
        <f ca="1">IFERROR(IF(Prêt_Non_Payé*Valeurs_Entrées,Mensualité,""), "")</f>
        <v>1227.3262210603918</v>
      </c>
      <c r="H304" s="14">
        <f ca="1">IFERROR(IF(Prêt_Non_Payé*Valeurs_Entrées,Capital,""), "")</f>
        <v>1183.2114484535691</v>
      </c>
      <c r="I304" s="14">
        <f ca="1">IFERROR(IF(Prêt_Non_Payé*Valeurs_Entrées,Intérêts,""), "")</f>
        <v>44.11477260682291</v>
      </c>
      <c r="J304" s="18">
        <f ca="1">IFERROR(IF(Prêt_Non_Payé*Valeurs_Entrées,Fin_Solde,""), "")</f>
        <v>12051.220333584002</v>
      </c>
    </row>
    <row r="305" spans="2:10" ht="17" customHeight="1">
      <c r="D305" s="16">
        <f ca="1">IFERROR(IF(Prêt_Non_Payé*Valeurs_Entrées,Numéro_Paiement,""), "")</f>
        <v>291</v>
      </c>
      <c r="E305" s="17">
        <f ca="1">IFERROR(IF(Prêt_Non_Payé*Valeurs_Entrées,Paiement_Date,""), "")</f>
        <v>54159</v>
      </c>
      <c r="F305" s="14">
        <f ca="1">IFERROR(IF(Prêt_Non_Payé*Valeurs_Entrées,Début_Solde,""), "")</f>
        <v>12051.220333584002</v>
      </c>
      <c r="G305" s="14">
        <f ca="1">IFERROR(IF(Prêt_Non_Payé*Valeurs_Entrées,Mensualité,""), "")</f>
        <v>1227.3262210603918</v>
      </c>
      <c r="H305" s="14">
        <f ca="1">IFERROR(IF(Prêt_Non_Payé*Valeurs_Entrées,Capital,""), "")</f>
        <v>1187.1554866150809</v>
      </c>
      <c r="I305" s="14">
        <f ca="1">IFERROR(IF(Prêt_Non_Payé*Valeurs_Entrées,Intérêts,""), "")</f>
        <v>40.170734445311005</v>
      </c>
      <c r="J305" s="18">
        <f ca="1">IFERROR(IF(Prêt_Non_Payé*Valeurs_Entrées,Fin_Solde,""), "")</f>
        <v>10864.064846968628</v>
      </c>
    </row>
    <row r="306" spans="2:10" ht="17" customHeight="1">
      <c r="D306" s="16">
        <f ca="1">IFERROR(IF(Prêt_Non_Payé*Valeurs_Entrées,Numéro_Paiement,""), "")</f>
        <v>292</v>
      </c>
      <c r="E306" s="17">
        <f ca="1">IFERROR(IF(Prêt_Non_Payé*Valeurs_Entrées,Paiement_Date,""), "")</f>
        <v>54189</v>
      </c>
      <c r="F306" s="14">
        <f ca="1">IFERROR(IF(Prêt_Non_Payé*Valeurs_Entrées,Début_Solde,""), "")</f>
        <v>10864.064846968628</v>
      </c>
      <c r="G306" s="14">
        <f ca="1">IFERROR(IF(Prêt_Non_Payé*Valeurs_Entrées,Mensualité,""), "")</f>
        <v>1227.3262210603918</v>
      </c>
      <c r="H306" s="14">
        <f ca="1">IFERROR(IF(Prêt_Non_Payé*Valeurs_Entrées,Capital,""), "")</f>
        <v>1191.1126715704645</v>
      </c>
      <c r="I306" s="14">
        <f ca="1">IFERROR(IF(Prêt_Non_Payé*Valeurs_Entrées,Intérêts,""), "")</f>
        <v>36.213549489927402</v>
      </c>
      <c r="J306" s="18">
        <f ca="1">IFERROR(IF(Prêt_Non_Payé*Valeurs_Entrées,Fin_Solde,""), "")</f>
        <v>9672.9521753982408</v>
      </c>
    </row>
    <row r="307" spans="2:10" ht="17" customHeight="1">
      <c r="D307" s="16">
        <f ca="1">IFERROR(IF(Prêt_Non_Payé*Valeurs_Entrées,Numéro_Paiement,""), "")</f>
        <v>293</v>
      </c>
      <c r="E307" s="17">
        <f ca="1">IFERROR(IF(Prêt_Non_Payé*Valeurs_Entrées,Paiement_Date,""), "")</f>
        <v>54220</v>
      </c>
      <c r="F307" s="14">
        <f ca="1">IFERROR(IF(Prêt_Non_Payé*Valeurs_Entrées,Début_Solde,""), "")</f>
        <v>9672.9521753982408</v>
      </c>
      <c r="G307" s="14">
        <f ca="1">IFERROR(IF(Prêt_Non_Payé*Valeurs_Entrées,Mensualité,""), "")</f>
        <v>1227.3262210603918</v>
      </c>
      <c r="H307" s="14">
        <f ca="1">IFERROR(IF(Prêt_Non_Payé*Valeurs_Entrées,Capital,""), "")</f>
        <v>1195.083047142366</v>
      </c>
      <c r="I307" s="14">
        <f ca="1">IFERROR(IF(Prêt_Non_Payé*Valeurs_Entrées,Intérêts,""), "")</f>
        <v>32.24317391802586</v>
      </c>
      <c r="J307" s="18">
        <f ca="1">IFERROR(IF(Prêt_Non_Payé*Valeurs_Entrées,Fin_Solde,""), "")</f>
        <v>8477.8691282558721</v>
      </c>
    </row>
    <row r="308" spans="2:10" ht="17" customHeight="1">
      <c r="D308" s="16">
        <f ca="1">IFERROR(IF(Prêt_Non_Payé*Valeurs_Entrées,Numéro_Paiement,""), "")</f>
        <v>294</v>
      </c>
      <c r="E308" s="17">
        <f ca="1">IFERROR(IF(Prêt_Non_Payé*Valeurs_Entrées,Paiement_Date,""), "")</f>
        <v>54250</v>
      </c>
      <c r="F308" s="14">
        <f ca="1">IFERROR(IF(Prêt_Non_Payé*Valeurs_Entrées,Début_Solde,""), "")</f>
        <v>8477.8691282558721</v>
      </c>
      <c r="G308" s="14">
        <f ca="1">IFERROR(IF(Prêt_Non_Payé*Valeurs_Entrées,Mensualité,""), "")</f>
        <v>1227.3262210603918</v>
      </c>
      <c r="H308" s="14">
        <f ca="1">IFERROR(IF(Prêt_Non_Payé*Valeurs_Entrées,Capital,""), "")</f>
        <v>1199.0666572995071</v>
      </c>
      <c r="I308" s="14">
        <f ca="1">IFERROR(IF(Prêt_Non_Payé*Valeurs_Entrées,Intérêts,""), "")</f>
        <v>28.259563760884642</v>
      </c>
      <c r="J308" s="18">
        <f ca="1">IFERROR(IF(Prêt_Non_Payé*Valeurs_Entrées,Fin_Solde,""), "")</f>
        <v>7278.8024709562305</v>
      </c>
    </row>
    <row r="309" spans="2:10" ht="17" customHeight="1">
      <c r="D309" s="16">
        <f ca="1">IFERROR(IF(Prêt_Non_Payé*Valeurs_Entrées,Numéro_Paiement,""), "")</f>
        <v>295</v>
      </c>
      <c r="E309" s="17">
        <f ca="1">IFERROR(IF(Prêt_Non_Payé*Valeurs_Entrées,Paiement_Date,""), "")</f>
        <v>54281</v>
      </c>
      <c r="F309" s="14">
        <f ca="1">IFERROR(IF(Prêt_Non_Payé*Valeurs_Entrées,Début_Solde,""), "")</f>
        <v>7278.8024709562305</v>
      </c>
      <c r="G309" s="14">
        <f ca="1">IFERROR(IF(Prêt_Non_Payé*Valeurs_Entrées,Mensualité,""), "")</f>
        <v>1227.3262210603918</v>
      </c>
      <c r="H309" s="14">
        <f ca="1">IFERROR(IF(Prêt_Non_Payé*Valeurs_Entrées,Capital,""), "")</f>
        <v>1203.0635461571721</v>
      </c>
      <c r="I309" s="14">
        <f ca="1">IFERROR(IF(Prêt_Non_Payé*Valeurs_Entrées,Intérêts,""), "")</f>
        <v>24.262674903219619</v>
      </c>
      <c r="J309" s="18">
        <f ca="1">IFERROR(IF(Prêt_Non_Payé*Valeurs_Entrées,Fin_Solde,""), "")</f>
        <v>6075.7389247989049</v>
      </c>
    </row>
    <row r="310" spans="2:10" ht="17" customHeight="1">
      <c r="D310" s="16">
        <f ca="1">IFERROR(IF(Prêt_Non_Payé*Valeurs_Entrées,Numéro_Paiement,""), "")</f>
        <v>296</v>
      </c>
      <c r="E310" s="17">
        <f ca="1">IFERROR(IF(Prêt_Non_Payé*Valeurs_Entrées,Paiement_Date,""), "")</f>
        <v>54312</v>
      </c>
      <c r="F310" s="14">
        <f ca="1">IFERROR(IF(Prêt_Non_Payé*Valeurs_Entrées,Début_Solde,""), "")</f>
        <v>6075.7389247989049</v>
      </c>
      <c r="G310" s="14">
        <f ca="1">IFERROR(IF(Prêt_Non_Payé*Valeurs_Entrées,Mensualité,""), "")</f>
        <v>1227.3262210603918</v>
      </c>
      <c r="H310" s="14">
        <f ca="1">IFERROR(IF(Prêt_Non_Payé*Valeurs_Entrées,Capital,""), "")</f>
        <v>1207.073757977696</v>
      </c>
      <c r="I310" s="14">
        <f ca="1">IFERROR(IF(Prêt_Non_Payé*Valeurs_Entrées,Intérêts,""), "")</f>
        <v>20.252463082695709</v>
      </c>
      <c r="J310" s="18">
        <f ca="1">IFERROR(IF(Prêt_Non_Payé*Valeurs_Entrées,Fin_Solde,""), "")</f>
        <v>4868.6651668212144</v>
      </c>
    </row>
    <row r="311" spans="2:10" ht="17" customHeight="1">
      <c r="D311" s="16">
        <f ca="1">IFERROR(IF(Prêt_Non_Payé*Valeurs_Entrées,Numéro_Paiement,""), "")</f>
        <v>297</v>
      </c>
      <c r="E311" s="17">
        <f ca="1">IFERROR(IF(Prêt_Non_Payé*Valeurs_Entrées,Paiement_Date,""), "")</f>
        <v>54342</v>
      </c>
      <c r="F311" s="14">
        <f ca="1">IFERROR(IF(Prêt_Non_Payé*Valeurs_Entrées,Début_Solde,""), "")</f>
        <v>4868.6651668212144</v>
      </c>
      <c r="G311" s="14">
        <f ca="1">IFERROR(IF(Prêt_Non_Payé*Valeurs_Entrées,Mensualité,""), "")</f>
        <v>1227.3262210603918</v>
      </c>
      <c r="H311" s="14">
        <f ca="1">IFERROR(IF(Prêt_Non_Payé*Valeurs_Entrées,Capital,""), "")</f>
        <v>1211.0973371709551</v>
      </c>
      <c r="I311" s="14">
        <f ca="1">IFERROR(IF(Prêt_Non_Payé*Valeurs_Entrées,Intérêts,""), "")</f>
        <v>16.22888388943672</v>
      </c>
      <c r="J311" s="18">
        <f ca="1">IFERROR(IF(Prêt_Non_Payé*Valeurs_Entrées,Fin_Solde,""), "")</f>
        <v>3657.5678296502447</v>
      </c>
    </row>
    <row r="312" spans="2:10" ht="17" customHeight="1">
      <c r="D312" s="16">
        <f ca="1">IFERROR(IF(Prêt_Non_Payé*Valeurs_Entrées,Numéro_Paiement,""), "")</f>
        <v>298</v>
      </c>
      <c r="E312" s="17">
        <f ca="1">IFERROR(IF(Prêt_Non_Payé*Valeurs_Entrées,Paiement_Date,""), "")</f>
        <v>54373</v>
      </c>
      <c r="F312" s="14">
        <f ca="1">IFERROR(IF(Prêt_Non_Payé*Valeurs_Entrées,Début_Solde,""), "")</f>
        <v>3657.5678296502447</v>
      </c>
      <c r="G312" s="14">
        <f ca="1">IFERROR(IF(Prêt_Non_Payé*Valeurs_Entrées,Mensualité,""), "")</f>
        <v>1227.3262210603918</v>
      </c>
      <c r="H312" s="14">
        <f ca="1">IFERROR(IF(Prêt_Non_Payé*Valeurs_Entrées,Capital,""), "")</f>
        <v>1215.1343282948583</v>
      </c>
      <c r="I312" s="14">
        <f ca="1">IFERROR(IF(Prêt_Non_Payé*Valeurs_Entrées,Intérêts,""), "")</f>
        <v>12.191892765533536</v>
      </c>
      <c r="J312" s="18">
        <f ca="1">IFERROR(IF(Prêt_Non_Payé*Valeurs_Entrées,Fin_Solde,""), "")</f>
        <v>2442.43350135535</v>
      </c>
    </row>
    <row r="313" spans="2:10" ht="17" customHeight="1">
      <c r="D313" s="16">
        <f ca="1">IFERROR(IF(Prêt_Non_Payé*Valeurs_Entrées,Numéro_Paiement,""), "")</f>
        <v>299</v>
      </c>
      <c r="E313" s="17">
        <f ca="1">IFERROR(IF(Prêt_Non_Payé*Valeurs_Entrées,Paiement_Date,""), "")</f>
        <v>54403</v>
      </c>
      <c r="F313" s="14">
        <f ca="1">IFERROR(IF(Prêt_Non_Payé*Valeurs_Entrées,Début_Solde,""), "")</f>
        <v>2442.43350135535</v>
      </c>
      <c r="G313" s="14">
        <f ca="1">IFERROR(IF(Prêt_Non_Payé*Valeurs_Entrées,Mensualité,""), "")</f>
        <v>1227.3262210603918</v>
      </c>
      <c r="H313" s="14">
        <f ca="1">IFERROR(IF(Prêt_Non_Payé*Valeurs_Entrées,Capital,""), "")</f>
        <v>1219.1847760558412</v>
      </c>
      <c r="I313" s="14">
        <f ca="1">IFERROR(IF(Prêt_Non_Payé*Valeurs_Entrées,Intérêts,""), "")</f>
        <v>8.1414450045506737</v>
      </c>
      <c r="J313" s="18">
        <f ca="1">IFERROR(IF(Prêt_Non_Payé*Valeurs_Entrées,Fin_Solde,""), "")</f>
        <v>1223.2487252993742</v>
      </c>
    </row>
    <row r="314" spans="2:10" ht="17" customHeight="1">
      <c r="B314" s="28">
        <v>25</v>
      </c>
      <c r="D314" s="19">
        <f ca="1">IFERROR(IF(Prêt_Non_Payé*Valeurs_Entrées,Numéro_Paiement,""), "")</f>
        <v>300</v>
      </c>
      <c r="E314" s="27">
        <f ca="1">IFERROR(IF(Prêt_Non_Payé*Valeurs_Entrées,Paiement_Date,""), "")</f>
        <v>54434</v>
      </c>
      <c r="F314" s="18">
        <f ca="1">IFERROR(IF(Prêt_Non_Payé*Valeurs_Entrées,Début_Solde,""), "")</f>
        <v>1223.2487252993742</v>
      </c>
      <c r="G314" s="18">
        <f ca="1">IFERROR(IF(Prêt_Non_Payé*Valeurs_Entrées,Mensualité,""), "")</f>
        <v>1227.3262210603918</v>
      </c>
      <c r="H314" s="18">
        <f ca="1">IFERROR(IF(Prêt_Non_Payé*Valeurs_Entrées,Capital,""), "")</f>
        <v>1223.2487253093607</v>
      </c>
      <c r="I314" s="18">
        <f ca="1">IFERROR(IF(Prêt_Non_Payé*Valeurs_Entrées,Intérêts,""), "")</f>
        <v>4.0774957510312024</v>
      </c>
      <c r="J314" s="18">
        <f ca="1">IFERROR(IF(Prêt_Non_Payé*Valeurs_Entrées,Fin_Solde,""), "")</f>
        <v>-1.0011717677116394E-8</v>
      </c>
    </row>
    <row r="315" spans="2:10" ht="17" customHeight="1">
      <c r="D315" s="16" t="str">
        <f ca="1">IFERROR(IF(Prêt_Non_Payé*Valeurs_Entrées,Numéro_Paiement,""), "")</f>
        <v/>
      </c>
      <c r="E315" s="17" t="str">
        <f ca="1">IFERROR(IF(Prêt_Non_Payé*Valeurs_Entrées,Paiement_Date,""), "")</f>
        <v/>
      </c>
      <c r="F315" s="14" t="str">
        <f ca="1">IFERROR(IF(Prêt_Non_Payé*Valeurs_Entrées,Début_Solde,""), "")</f>
        <v/>
      </c>
      <c r="G315" s="14" t="str">
        <f ca="1">IFERROR(IF(Prêt_Non_Payé*Valeurs_Entrées,Mensualité,""), "")</f>
        <v/>
      </c>
      <c r="H315" s="14" t="str">
        <f ca="1">IFERROR(IF(Prêt_Non_Payé*Valeurs_Entrées,Capital,""), "")</f>
        <v/>
      </c>
      <c r="I315" s="14" t="str">
        <f ca="1">IFERROR(IF(Prêt_Non_Payé*Valeurs_Entrées,Intérêts,""), "")</f>
        <v/>
      </c>
      <c r="J315" s="18" t="str">
        <f ca="1">IFERROR(IF(Prêt_Non_Payé*Valeurs_Entrées,Fin_Solde,""), "")</f>
        <v/>
      </c>
    </row>
    <row r="316" spans="2:10" ht="17" customHeight="1">
      <c r="D316" s="16" t="str">
        <f ca="1">IFERROR(IF(Prêt_Non_Payé*Valeurs_Entrées,Numéro_Paiement,""), "")</f>
        <v/>
      </c>
      <c r="E316" s="17" t="str">
        <f ca="1">IFERROR(IF(Prêt_Non_Payé*Valeurs_Entrées,Paiement_Date,""), "")</f>
        <v/>
      </c>
      <c r="F316" s="14" t="str">
        <f ca="1">IFERROR(IF(Prêt_Non_Payé*Valeurs_Entrées,Début_Solde,""), "")</f>
        <v/>
      </c>
      <c r="G316" s="14" t="str">
        <f ca="1">IFERROR(IF(Prêt_Non_Payé*Valeurs_Entrées,Mensualité,""), "")</f>
        <v/>
      </c>
      <c r="H316" s="14" t="str">
        <f ca="1">IFERROR(IF(Prêt_Non_Payé*Valeurs_Entrées,Capital,""), "")</f>
        <v/>
      </c>
      <c r="I316" s="14" t="str">
        <f ca="1">IFERROR(IF(Prêt_Non_Payé*Valeurs_Entrées,Intérêts,""), "")</f>
        <v/>
      </c>
      <c r="J316" s="18" t="str">
        <f ca="1">IFERROR(IF(Prêt_Non_Payé*Valeurs_Entrées,Fin_Solde,""), "")</f>
        <v/>
      </c>
    </row>
    <row r="317" spans="2:10" ht="17" customHeight="1">
      <c r="D317" s="16" t="str">
        <f ca="1">IFERROR(IF(Prêt_Non_Payé*Valeurs_Entrées,Numéro_Paiement,""), "")</f>
        <v/>
      </c>
      <c r="E317" s="17" t="str">
        <f ca="1">IFERROR(IF(Prêt_Non_Payé*Valeurs_Entrées,Paiement_Date,""), "")</f>
        <v/>
      </c>
      <c r="F317" s="14" t="str">
        <f ca="1">IFERROR(IF(Prêt_Non_Payé*Valeurs_Entrées,Début_Solde,""), "")</f>
        <v/>
      </c>
      <c r="G317" s="14" t="str">
        <f ca="1">IFERROR(IF(Prêt_Non_Payé*Valeurs_Entrées,Mensualité,""), "")</f>
        <v/>
      </c>
      <c r="H317" s="14" t="str">
        <f ca="1">IFERROR(IF(Prêt_Non_Payé*Valeurs_Entrées,Capital,""), "")</f>
        <v/>
      </c>
      <c r="I317" s="14" t="str">
        <f ca="1">IFERROR(IF(Prêt_Non_Payé*Valeurs_Entrées,Intérêts,""), "")</f>
        <v/>
      </c>
      <c r="J317" s="18" t="str">
        <f ca="1">IFERROR(IF(Prêt_Non_Payé*Valeurs_Entrées,Fin_Solde,""), "")</f>
        <v/>
      </c>
    </row>
    <row r="318" spans="2:10" ht="17" customHeight="1">
      <c r="D318" s="16" t="str">
        <f ca="1">IFERROR(IF(Prêt_Non_Payé*Valeurs_Entrées,Numéro_Paiement,""), "")</f>
        <v/>
      </c>
      <c r="E318" s="17" t="str">
        <f ca="1">IFERROR(IF(Prêt_Non_Payé*Valeurs_Entrées,Paiement_Date,""), "")</f>
        <v/>
      </c>
      <c r="F318" s="14" t="str">
        <f ca="1">IFERROR(IF(Prêt_Non_Payé*Valeurs_Entrées,Début_Solde,""), "")</f>
        <v/>
      </c>
      <c r="G318" s="14" t="str">
        <f ca="1">IFERROR(IF(Prêt_Non_Payé*Valeurs_Entrées,Mensualité,""), "")</f>
        <v/>
      </c>
      <c r="H318" s="14" t="str">
        <f ca="1">IFERROR(IF(Prêt_Non_Payé*Valeurs_Entrées,Capital,""), "")</f>
        <v/>
      </c>
      <c r="I318" s="14" t="str">
        <f ca="1">IFERROR(IF(Prêt_Non_Payé*Valeurs_Entrées,Intérêts,""), "")</f>
        <v/>
      </c>
      <c r="J318" s="18" t="str">
        <f ca="1">IFERROR(IF(Prêt_Non_Payé*Valeurs_Entrées,Fin_Solde,""), "")</f>
        <v/>
      </c>
    </row>
    <row r="319" spans="2:10" ht="17" customHeight="1">
      <c r="D319" s="16" t="str">
        <f ca="1">IFERROR(IF(Prêt_Non_Payé*Valeurs_Entrées,Numéro_Paiement,""), "")</f>
        <v/>
      </c>
      <c r="E319" s="17" t="str">
        <f ca="1">IFERROR(IF(Prêt_Non_Payé*Valeurs_Entrées,Paiement_Date,""), "")</f>
        <v/>
      </c>
      <c r="F319" s="14" t="str">
        <f ca="1">IFERROR(IF(Prêt_Non_Payé*Valeurs_Entrées,Début_Solde,""), "")</f>
        <v/>
      </c>
      <c r="G319" s="14" t="str">
        <f ca="1">IFERROR(IF(Prêt_Non_Payé*Valeurs_Entrées,Mensualité,""), "")</f>
        <v/>
      </c>
      <c r="H319" s="14" t="str">
        <f ca="1">IFERROR(IF(Prêt_Non_Payé*Valeurs_Entrées,Capital,""), "")</f>
        <v/>
      </c>
      <c r="I319" s="14" t="str">
        <f ca="1">IFERROR(IF(Prêt_Non_Payé*Valeurs_Entrées,Intérêts,""), "")</f>
        <v/>
      </c>
      <c r="J319" s="18" t="str">
        <f ca="1">IFERROR(IF(Prêt_Non_Payé*Valeurs_Entrées,Fin_Solde,""), "")</f>
        <v/>
      </c>
    </row>
    <row r="320" spans="2:10" ht="17" customHeight="1">
      <c r="D320" s="16" t="str">
        <f ca="1">IFERROR(IF(Prêt_Non_Payé*Valeurs_Entrées,Numéro_Paiement,""), "")</f>
        <v/>
      </c>
      <c r="E320" s="17" t="str">
        <f ca="1">IFERROR(IF(Prêt_Non_Payé*Valeurs_Entrées,Paiement_Date,""), "")</f>
        <v/>
      </c>
      <c r="F320" s="14" t="str">
        <f ca="1">IFERROR(IF(Prêt_Non_Payé*Valeurs_Entrées,Début_Solde,""), "")</f>
        <v/>
      </c>
      <c r="G320" s="14" t="str">
        <f ca="1">IFERROR(IF(Prêt_Non_Payé*Valeurs_Entrées,Mensualité,""), "")</f>
        <v/>
      </c>
      <c r="H320" s="14" t="str">
        <f ca="1">IFERROR(IF(Prêt_Non_Payé*Valeurs_Entrées,Capital,""), "")</f>
        <v/>
      </c>
      <c r="I320" s="14" t="str">
        <f ca="1">IFERROR(IF(Prêt_Non_Payé*Valeurs_Entrées,Intérêts,""), "")</f>
        <v/>
      </c>
      <c r="J320" s="18" t="str">
        <f ca="1">IFERROR(IF(Prêt_Non_Payé*Valeurs_Entrées,Fin_Solde,""), "")</f>
        <v/>
      </c>
    </row>
    <row r="321" spans="2:10" ht="17" customHeight="1">
      <c r="D321" s="16" t="str">
        <f ca="1">IFERROR(IF(Prêt_Non_Payé*Valeurs_Entrées,Numéro_Paiement,""), "")</f>
        <v/>
      </c>
      <c r="E321" s="17" t="str">
        <f ca="1">IFERROR(IF(Prêt_Non_Payé*Valeurs_Entrées,Paiement_Date,""), "")</f>
        <v/>
      </c>
      <c r="F321" s="14" t="str">
        <f ca="1">IFERROR(IF(Prêt_Non_Payé*Valeurs_Entrées,Début_Solde,""), "")</f>
        <v/>
      </c>
      <c r="G321" s="14" t="str">
        <f ca="1">IFERROR(IF(Prêt_Non_Payé*Valeurs_Entrées,Mensualité,""), "")</f>
        <v/>
      </c>
      <c r="H321" s="14" t="str">
        <f ca="1">IFERROR(IF(Prêt_Non_Payé*Valeurs_Entrées,Capital,""), "")</f>
        <v/>
      </c>
      <c r="I321" s="14" t="str">
        <f ca="1">IFERROR(IF(Prêt_Non_Payé*Valeurs_Entrées,Intérêts,""), "")</f>
        <v/>
      </c>
      <c r="J321" s="18" t="str">
        <f ca="1">IFERROR(IF(Prêt_Non_Payé*Valeurs_Entrées,Fin_Solde,""), "")</f>
        <v/>
      </c>
    </row>
    <row r="322" spans="2:10" ht="17" customHeight="1">
      <c r="D322" s="16" t="str">
        <f ca="1">IFERROR(IF(Prêt_Non_Payé*Valeurs_Entrées,Numéro_Paiement,""), "")</f>
        <v/>
      </c>
      <c r="E322" s="17" t="str">
        <f ca="1">IFERROR(IF(Prêt_Non_Payé*Valeurs_Entrées,Paiement_Date,""), "")</f>
        <v/>
      </c>
      <c r="F322" s="14" t="str">
        <f ca="1">IFERROR(IF(Prêt_Non_Payé*Valeurs_Entrées,Début_Solde,""), "")</f>
        <v/>
      </c>
      <c r="G322" s="14" t="str">
        <f ca="1">IFERROR(IF(Prêt_Non_Payé*Valeurs_Entrées,Mensualité,""), "")</f>
        <v/>
      </c>
      <c r="H322" s="14" t="str">
        <f ca="1">IFERROR(IF(Prêt_Non_Payé*Valeurs_Entrées,Capital,""), "")</f>
        <v/>
      </c>
      <c r="I322" s="14" t="str">
        <f ca="1">IFERROR(IF(Prêt_Non_Payé*Valeurs_Entrées,Intérêts,""), "")</f>
        <v/>
      </c>
      <c r="J322" s="18" t="str">
        <f ca="1">IFERROR(IF(Prêt_Non_Payé*Valeurs_Entrées,Fin_Solde,""), "")</f>
        <v/>
      </c>
    </row>
    <row r="323" spans="2:10" ht="17" customHeight="1">
      <c r="D323" s="16" t="str">
        <f ca="1">IFERROR(IF(Prêt_Non_Payé*Valeurs_Entrées,Numéro_Paiement,""), "")</f>
        <v/>
      </c>
      <c r="E323" s="17" t="str">
        <f ca="1">IFERROR(IF(Prêt_Non_Payé*Valeurs_Entrées,Paiement_Date,""), "")</f>
        <v/>
      </c>
      <c r="F323" s="14" t="str">
        <f ca="1">IFERROR(IF(Prêt_Non_Payé*Valeurs_Entrées,Début_Solde,""), "")</f>
        <v/>
      </c>
      <c r="G323" s="14" t="str">
        <f ca="1">IFERROR(IF(Prêt_Non_Payé*Valeurs_Entrées,Mensualité,""), "")</f>
        <v/>
      </c>
      <c r="H323" s="14" t="str">
        <f ca="1">IFERROR(IF(Prêt_Non_Payé*Valeurs_Entrées,Capital,""), "")</f>
        <v/>
      </c>
      <c r="I323" s="14" t="str">
        <f ca="1">IFERROR(IF(Prêt_Non_Payé*Valeurs_Entrées,Intérêts,""), "")</f>
        <v/>
      </c>
      <c r="J323" s="18" t="str">
        <f ca="1">IFERROR(IF(Prêt_Non_Payé*Valeurs_Entrées,Fin_Solde,""), "")</f>
        <v/>
      </c>
    </row>
    <row r="324" spans="2:10" ht="17" customHeight="1">
      <c r="D324" s="16" t="str">
        <f ca="1">IFERROR(IF(Prêt_Non_Payé*Valeurs_Entrées,Numéro_Paiement,""), "")</f>
        <v/>
      </c>
      <c r="E324" s="17" t="str">
        <f ca="1">IFERROR(IF(Prêt_Non_Payé*Valeurs_Entrées,Paiement_Date,""), "")</f>
        <v/>
      </c>
      <c r="F324" s="14" t="str">
        <f ca="1">IFERROR(IF(Prêt_Non_Payé*Valeurs_Entrées,Début_Solde,""), "")</f>
        <v/>
      </c>
      <c r="G324" s="14" t="str">
        <f ca="1">IFERROR(IF(Prêt_Non_Payé*Valeurs_Entrées,Mensualité,""), "")</f>
        <v/>
      </c>
      <c r="H324" s="14" t="str">
        <f ca="1">IFERROR(IF(Prêt_Non_Payé*Valeurs_Entrées,Capital,""), "")</f>
        <v/>
      </c>
      <c r="I324" s="14" t="str">
        <f ca="1">IFERROR(IF(Prêt_Non_Payé*Valeurs_Entrées,Intérêts,""), "")</f>
        <v/>
      </c>
      <c r="J324" s="18" t="str">
        <f ca="1">IFERROR(IF(Prêt_Non_Payé*Valeurs_Entrées,Fin_Solde,""), "")</f>
        <v/>
      </c>
    </row>
    <row r="325" spans="2:10" ht="17" customHeight="1">
      <c r="D325" s="16" t="str">
        <f ca="1">IFERROR(IF(Prêt_Non_Payé*Valeurs_Entrées,Numéro_Paiement,""), "")</f>
        <v/>
      </c>
      <c r="E325" s="17" t="str">
        <f ca="1">IFERROR(IF(Prêt_Non_Payé*Valeurs_Entrées,Paiement_Date,""), "")</f>
        <v/>
      </c>
      <c r="F325" s="14" t="str">
        <f ca="1">IFERROR(IF(Prêt_Non_Payé*Valeurs_Entrées,Début_Solde,""), "")</f>
        <v/>
      </c>
      <c r="G325" s="14" t="str">
        <f ca="1">IFERROR(IF(Prêt_Non_Payé*Valeurs_Entrées,Mensualité,""), "")</f>
        <v/>
      </c>
      <c r="H325" s="14" t="str">
        <f ca="1">IFERROR(IF(Prêt_Non_Payé*Valeurs_Entrées,Capital,""), "")</f>
        <v/>
      </c>
      <c r="I325" s="14" t="str">
        <f ca="1">IFERROR(IF(Prêt_Non_Payé*Valeurs_Entrées,Intérêts,""), "")</f>
        <v/>
      </c>
      <c r="J325" s="18" t="str">
        <f ca="1">IFERROR(IF(Prêt_Non_Payé*Valeurs_Entrées,Fin_Solde,""), "")</f>
        <v/>
      </c>
    </row>
    <row r="326" spans="2:10" ht="17" customHeight="1">
      <c r="B326" s="28">
        <v>26</v>
      </c>
      <c r="D326" s="19" t="str">
        <f ca="1">IFERROR(IF(Prêt_Non_Payé*Valeurs_Entrées,Numéro_Paiement,""), "")</f>
        <v/>
      </c>
      <c r="E326" s="27" t="str">
        <f ca="1">IFERROR(IF(Prêt_Non_Payé*Valeurs_Entrées,Paiement_Date,""), "")</f>
        <v/>
      </c>
      <c r="F326" s="18" t="str">
        <f ca="1">IFERROR(IF(Prêt_Non_Payé*Valeurs_Entrées,Début_Solde,""), "")</f>
        <v/>
      </c>
      <c r="G326" s="18" t="str">
        <f ca="1">IFERROR(IF(Prêt_Non_Payé*Valeurs_Entrées,Mensualité,""), "")</f>
        <v/>
      </c>
      <c r="H326" s="18" t="str">
        <f ca="1">IFERROR(IF(Prêt_Non_Payé*Valeurs_Entrées,Capital,""), "")</f>
        <v/>
      </c>
      <c r="I326" s="18" t="str">
        <f ca="1">IFERROR(IF(Prêt_Non_Payé*Valeurs_Entrées,Intérêts,""), "")</f>
        <v/>
      </c>
      <c r="J326" s="18" t="str">
        <f ca="1">IFERROR(IF(Prêt_Non_Payé*Valeurs_Entrées,Fin_Solde,""), "")</f>
        <v/>
      </c>
    </row>
    <row r="327" spans="2:10" ht="17" customHeight="1">
      <c r="D327" s="16" t="str">
        <f ca="1">IFERROR(IF(Prêt_Non_Payé*Valeurs_Entrées,Numéro_Paiement,""), "")</f>
        <v/>
      </c>
      <c r="E327" s="17" t="str">
        <f ca="1">IFERROR(IF(Prêt_Non_Payé*Valeurs_Entrées,Paiement_Date,""), "")</f>
        <v/>
      </c>
      <c r="F327" s="14" t="str">
        <f ca="1">IFERROR(IF(Prêt_Non_Payé*Valeurs_Entrées,Début_Solde,""), "")</f>
        <v/>
      </c>
      <c r="G327" s="14" t="str">
        <f ca="1">IFERROR(IF(Prêt_Non_Payé*Valeurs_Entrées,Mensualité,""), "")</f>
        <v/>
      </c>
      <c r="H327" s="14" t="str">
        <f ca="1">IFERROR(IF(Prêt_Non_Payé*Valeurs_Entrées,Capital,""), "")</f>
        <v/>
      </c>
      <c r="I327" s="14" t="str">
        <f ca="1">IFERROR(IF(Prêt_Non_Payé*Valeurs_Entrées,Intérêts,""), "")</f>
        <v/>
      </c>
      <c r="J327" s="18" t="str">
        <f ca="1">IFERROR(IF(Prêt_Non_Payé*Valeurs_Entrées,Fin_Solde,""), "")</f>
        <v/>
      </c>
    </row>
    <row r="328" spans="2:10" ht="17" customHeight="1">
      <c r="D328" s="16" t="str">
        <f ca="1">IFERROR(IF(Prêt_Non_Payé*Valeurs_Entrées,Numéro_Paiement,""), "")</f>
        <v/>
      </c>
      <c r="E328" s="17" t="str">
        <f ca="1">IFERROR(IF(Prêt_Non_Payé*Valeurs_Entrées,Paiement_Date,""), "")</f>
        <v/>
      </c>
      <c r="F328" s="14" t="str">
        <f ca="1">IFERROR(IF(Prêt_Non_Payé*Valeurs_Entrées,Début_Solde,""), "")</f>
        <v/>
      </c>
      <c r="G328" s="14" t="str">
        <f ca="1">IFERROR(IF(Prêt_Non_Payé*Valeurs_Entrées,Mensualité,""), "")</f>
        <v/>
      </c>
      <c r="H328" s="14" t="str">
        <f ca="1">IFERROR(IF(Prêt_Non_Payé*Valeurs_Entrées,Capital,""), "")</f>
        <v/>
      </c>
      <c r="I328" s="14" t="str">
        <f ca="1">IFERROR(IF(Prêt_Non_Payé*Valeurs_Entrées,Intérêts,""), "")</f>
        <v/>
      </c>
      <c r="J328" s="18" t="str">
        <f ca="1">IFERROR(IF(Prêt_Non_Payé*Valeurs_Entrées,Fin_Solde,""), "")</f>
        <v/>
      </c>
    </row>
    <row r="329" spans="2:10" ht="17" customHeight="1">
      <c r="D329" s="16" t="str">
        <f ca="1">IFERROR(IF(Prêt_Non_Payé*Valeurs_Entrées,Numéro_Paiement,""), "")</f>
        <v/>
      </c>
      <c r="E329" s="17" t="str">
        <f ca="1">IFERROR(IF(Prêt_Non_Payé*Valeurs_Entrées,Paiement_Date,""), "")</f>
        <v/>
      </c>
      <c r="F329" s="14" t="str">
        <f ca="1">IFERROR(IF(Prêt_Non_Payé*Valeurs_Entrées,Début_Solde,""), "")</f>
        <v/>
      </c>
      <c r="G329" s="14" t="str">
        <f ca="1">IFERROR(IF(Prêt_Non_Payé*Valeurs_Entrées,Mensualité,""), "")</f>
        <v/>
      </c>
      <c r="H329" s="14" t="str">
        <f ca="1">IFERROR(IF(Prêt_Non_Payé*Valeurs_Entrées,Capital,""), "")</f>
        <v/>
      </c>
      <c r="I329" s="14" t="str">
        <f ca="1">IFERROR(IF(Prêt_Non_Payé*Valeurs_Entrées,Intérêts,""), "")</f>
        <v/>
      </c>
      <c r="J329" s="18" t="str">
        <f ca="1">IFERROR(IF(Prêt_Non_Payé*Valeurs_Entrées,Fin_Solde,""), "")</f>
        <v/>
      </c>
    </row>
    <row r="330" spans="2:10" ht="17" customHeight="1">
      <c r="D330" s="16" t="str">
        <f ca="1">IFERROR(IF(Prêt_Non_Payé*Valeurs_Entrées,Numéro_Paiement,""), "")</f>
        <v/>
      </c>
      <c r="E330" s="17" t="str">
        <f ca="1">IFERROR(IF(Prêt_Non_Payé*Valeurs_Entrées,Paiement_Date,""), "")</f>
        <v/>
      </c>
      <c r="F330" s="14" t="str">
        <f ca="1">IFERROR(IF(Prêt_Non_Payé*Valeurs_Entrées,Début_Solde,""), "")</f>
        <v/>
      </c>
      <c r="G330" s="14" t="str">
        <f ca="1">IFERROR(IF(Prêt_Non_Payé*Valeurs_Entrées,Mensualité,""), "")</f>
        <v/>
      </c>
      <c r="H330" s="14" t="str">
        <f ca="1">IFERROR(IF(Prêt_Non_Payé*Valeurs_Entrées,Capital,""), "")</f>
        <v/>
      </c>
      <c r="I330" s="14" t="str">
        <f ca="1">IFERROR(IF(Prêt_Non_Payé*Valeurs_Entrées,Intérêts,""), "")</f>
        <v/>
      </c>
      <c r="J330" s="18" t="str">
        <f ca="1">IFERROR(IF(Prêt_Non_Payé*Valeurs_Entrées,Fin_Solde,""), "")</f>
        <v/>
      </c>
    </row>
    <row r="331" spans="2:10" ht="17" customHeight="1">
      <c r="D331" s="16" t="str">
        <f ca="1">IFERROR(IF(Prêt_Non_Payé*Valeurs_Entrées,Numéro_Paiement,""), "")</f>
        <v/>
      </c>
      <c r="E331" s="17" t="str">
        <f ca="1">IFERROR(IF(Prêt_Non_Payé*Valeurs_Entrées,Paiement_Date,""), "")</f>
        <v/>
      </c>
      <c r="F331" s="14" t="str">
        <f ca="1">IFERROR(IF(Prêt_Non_Payé*Valeurs_Entrées,Début_Solde,""), "")</f>
        <v/>
      </c>
      <c r="G331" s="14" t="str">
        <f ca="1">IFERROR(IF(Prêt_Non_Payé*Valeurs_Entrées,Mensualité,""), "")</f>
        <v/>
      </c>
      <c r="H331" s="14" t="str">
        <f ca="1">IFERROR(IF(Prêt_Non_Payé*Valeurs_Entrées,Capital,""), "")</f>
        <v/>
      </c>
      <c r="I331" s="14" t="str">
        <f ca="1">IFERROR(IF(Prêt_Non_Payé*Valeurs_Entrées,Intérêts,""), "")</f>
        <v/>
      </c>
      <c r="J331" s="18" t="str">
        <f ca="1">IFERROR(IF(Prêt_Non_Payé*Valeurs_Entrées,Fin_Solde,""), "")</f>
        <v/>
      </c>
    </row>
    <row r="332" spans="2:10" ht="17" customHeight="1">
      <c r="D332" s="16" t="str">
        <f ca="1">IFERROR(IF(Prêt_Non_Payé*Valeurs_Entrées,Numéro_Paiement,""), "")</f>
        <v/>
      </c>
      <c r="E332" s="17" t="str">
        <f ca="1">IFERROR(IF(Prêt_Non_Payé*Valeurs_Entrées,Paiement_Date,""), "")</f>
        <v/>
      </c>
      <c r="F332" s="14" t="str">
        <f ca="1">IFERROR(IF(Prêt_Non_Payé*Valeurs_Entrées,Début_Solde,""), "")</f>
        <v/>
      </c>
      <c r="G332" s="14" t="str">
        <f ca="1">IFERROR(IF(Prêt_Non_Payé*Valeurs_Entrées,Mensualité,""), "")</f>
        <v/>
      </c>
      <c r="H332" s="14" t="str">
        <f ca="1">IFERROR(IF(Prêt_Non_Payé*Valeurs_Entrées,Capital,""), "")</f>
        <v/>
      </c>
      <c r="I332" s="14" t="str">
        <f ca="1">IFERROR(IF(Prêt_Non_Payé*Valeurs_Entrées,Intérêts,""), "")</f>
        <v/>
      </c>
      <c r="J332" s="18" t="str">
        <f ca="1">IFERROR(IF(Prêt_Non_Payé*Valeurs_Entrées,Fin_Solde,""), "")</f>
        <v/>
      </c>
    </row>
    <row r="333" spans="2:10" ht="17" customHeight="1">
      <c r="D333" s="16" t="str">
        <f ca="1">IFERROR(IF(Prêt_Non_Payé*Valeurs_Entrées,Numéro_Paiement,""), "")</f>
        <v/>
      </c>
      <c r="E333" s="17" t="str">
        <f ca="1">IFERROR(IF(Prêt_Non_Payé*Valeurs_Entrées,Paiement_Date,""), "")</f>
        <v/>
      </c>
      <c r="F333" s="14" t="str">
        <f ca="1">IFERROR(IF(Prêt_Non_Payé*Valeurs_Entrées,Début_Solde,""), "")</f>
        <v/>
      </c>
      <c r="G333" s="14" t="str">
        <f ca="1">IFERROR(IF(Prêt_Non_Payé*Valeurs_Entrées,Mensualité,""), "")</f>
        <v/>
      </c>
      <c r="H333" s="14" t="str">
        <f ca="1">IFERROR(IF(Prêt_Non_Payé*Valeurs_Entrées,Capital,""), "")</f>
        <v/>
      </c>
      <c r="I333" s="14" t="str">
        <f ca="1">IFERROR(IF(Prêt_Non_Payé*Valeurs_Entrées,Intérêts,""), "")</f>
        <v/>
      </c>
      <c r="J333" s="18" t="str">
        <f ca="1">IFERROR(IF(Prêt_Non_Payé*Valeurs_Entrées,Fin_Solde,""), "")</f>
        <v/>
      </c>
    </row>
    <row r="334" spans="2:10" ht="17" customHeight="1">
      <c r="D334" s="16" t="str">
        <f ca="1">IFERROR(IF(Prêt_Non_Payé*Valeurs_Entrées,Numéro_Paiement,""), "")</f>
        <v/>
      </c>
      <c r="E334" s="17" t="str">
        <f ca="1">IFERROR(IF(Prêt_Non_Payé*Valeurs_Entrées,Paiement_Date,""), "")</f>
        <v/>
      </c>
      <c r="F334" s="14" t="str">
        <f ca="1">IFERROR(IF(Prêt_Non_Payé*Valeurs_Entrées,Début_Solde,""), "")</f>
        <v/>
      </c>
      <c r="G334" s="14" t="str">
        <f ca="1">IFERROR(IF(Prêt_Non_Payé*Valeurs_Entrées,Mensualité,""), "")</f>
        <v/>
      </c>
      <c r="H334" s="14" t="str">
        <f ca="1">IFERROR(IF(Prêt_Non_Payé*Valeurs_Entrées,Capital,""), "")</f>
        <v/>
      </c>
      <c r="I334" s="14" t="str">
        <f ca="1">IFERROR(IF(Prêt_Non_Payé*Valeurs_Entrées,Intérêts,""), "")</f>
        <v/>
      </c>
      <c r="J334" s="18" t="str">
        <f ca="1">IFERROR(IF(Prêt_Non_Payé*Valeurs_Entrées,Fin_Solde,""), "")</f>
        <v/>
      </c>
    </row>
    <row r="335" spans="2:10" ht="17" customHeight="1">
      <c r="D335" s="16" t="str">
        <f ca="1">IFERROR(IF(Prêt_Non_Payé*Valeurs_Entrées,Numéro_Paiement,""), "")</f>
        <v/>
      </c>
      <c r="E335" s="17" t="str">
        <f ca="1">IFERROR(IF(Prêt_Non_Payé*Valeurs_Entrées,Paiement_Date,""), "")</f>
        <v/>
      </c>
      <c r="F335" s="14" t="str">
        <f ca="1">IFERROR(IF(Prêt_Non_Payé*Valeurs_Entrées,Début_Solde,""), "")</f>
        <v/>
      </c>
      <c r="G335" s="14" t="str">
        <f ca="1">IFERROR(IF(Prêt_Non_Payé*Valeurs_Entrées,Mensualité,""), "")</f>
        <v/>
      </c>
      <c r="H335" s="14" t="str">
        <f ca="1">IFERROR(IF(Prêt_Non_Payé*Valeurs_Entrées,Capital,""), "")</f>
        <v/>
      </c>
      <c r="I335" s="14" t="str">
        <f ca="1">IFERROR(IF(Prêt_Non_Payé*Valeurs_Entrées,Intérêts,""), "")</f>
        <v/>
      </c>
      <c r="J335" s="18" t="str">
        <f ca="1">IFERROR(IF(Prêt_Non_Payé*Valeurs_Entrées,Fin_Solde,""), "")</f>
        <v/>
      </c>
    </row>
    <row r="336" spans="2:10" ht="17" customHeight="1">
      <c r="D336" s="16" t="str">
        <f ca="1">IFERROR(IF(Prêt_Non_Payé*Valeurs_Entrées,Numéro_Paiement,""), "")</f>
        <v/>
      </c>
      <c r="E336" s="17" t="str">
        <f ca="1">IFERROR(IF(Prêt_Non_Payé*Valeurs_Entrées,Paiement_Date,""), "")</f>
        <v/>
      </c>
      <c r="F336" s="14" t="str">
        <f ca="1">IFERROR(IF(Prêt_Non_Payé*Valeurs_Entrées,Début_Solde,""), "")</f>
        <v/>
      </c>
      <c r="G336" s="14" t="str">
        <f ca="1">IFERROR(IF(Prêt_Non_Payé*Valeurs_Entrées,Mensualité,""), "")</f>
        <v/>
      </c>
      <c r="H336" s="14" t="str">
        <f ca="1">IFERROR(IF(Prêt_Non_Payé*Valeurs_Entrées,Capital,""), "")</f>
        <v/>
      </c>
      <c r="I336" s="14" t="str">
        <f ca="1">IFERROR(IF(Prêt_Non_Payé*Valeurs_Entrées,Intérêts,""), "")</f>
        <v/>
      </c>
      <c r="J336" s="18" t="str">
        <f ca="1">IFERROR(IF(Prêt_Non_Payé*Valeurs_Entrées,Fin_Solde,""), "")</f>
        <v/>
      </c>
    </row>
    <row r="337" spans="2:10" ht="17" customHeight="1">
      <c r="D337" s="16" t="str">
        <f ca="1">IFERROR(IF(Prêt_Non_Payé*Valeurs_Entrées,Numéro_Paiement,""), "")</f>
        <v/>
      </c>
      <c r="E337" s="17" t="str">
        <f ca="1">IFERROR(IF(Prêt_Non_Payé*Valeurs_Entrées,Paiement_Date,""), "")</f>
        <v/>
      </c>
      <c r="F337" s="14" t="str">
        <f ca="1">IFERROR(IF(Prêt_Non_Payé*Valeurs_Entrées,Début_Solde,""), "")</f>
        <v/>
      </c>
      <c r="G337" s="14" t="str">
        <f ca="1">IFERROR(IF(Prêt_Non_Payé*Valeurs_Entrées,Mensualité,""), "")</f>
        <v/>
      </c>
      <c r="H337" s="14" t="str">
        <f ca="1">IFERROR(IF(Prêt_Non_Payé*Valeurs_Entrées,Capital,""), "")</f>
        <v/>
      </c>
      <c r="I337" s="14" t="str">
        <f ca="1">IFERROR(IF(Prêt_Non_Payé*Valeurs_Entrées,Intérêts,""), "")</f>
        <v/>
      </c>
      <c r="J337" s="18" t="str">
        <f ca="1">IFERROR(IF(Prêt_Non_Payé*Valeurs_Entrées,Fin_Solde,""), "")</f>
        <v/>
      </c>
    </row>
    <row r="338" spans="2:10" ht="17" customHeight="1">
      <c r="B338" s="28">
        <v>27</v>
      </c>
      <c r="D338" s="19" t="str">
        <f ca="1">IFERROR(IF(Prêt_Non_Payé*Valeurs_Entrées,Numéro_Paiement,""), "")</f>
        <v/>
      </c>
      <c r="E338" s="27" t="str">
        <f ca="1">IFERROR(IF(Prêt_Non_Payé*Valeurs_Entrées,Paiement_Date,""), "")</f>
        <v/>
      </c>
      <c r="F338" s="18" t="str">
        <f ca="1">IFERROR(IF(Prêt_Non_Payé*Valeurs_Entrées,Début_Solde,""), "")</f>
        <v/>
      </c>
      <c r="G338" s="18" t="str">
        <f ca="1">IFERROR(IF(Prêt_Non_Payé*Valeurs_Entrées,Mensualité,""), "")</f>
        <v/>
      </c>
      <c r="H338" s="18" t="str">
        <f ca="1">IFERROR(IF(Prêt_Non_Payé*Valeurs_Entrées,Capital,""), "")</f>
        <v/>
      </c>
      <c r="I338" s="18" t="str">
        <f ca="1">IFERROR(IF(Prêt_Non_Payé*Valeurs_Entrées,Intérêts,""), "")</f>
        <v/>
      </c>
      <c r="J338" s="18" t="str">
        <f ca="1">IFERROR(IF(Prêt_Non_Payé*Valeurs_Entrées,Fin_Solde,""), "")</f>
        <v/>
      </c>
    </row>
    <row r="339" spans="2:10" ht="17" customHeight="1">
      <c r="D339" s="16" t="str">
        <f ca="1">IFERROR(IF(Prêt_Non_Payé*Valeurs_Entrées,Numéro_Paiement,""), "")</f>
        <v/>
      </c>
      <c r="E339" s="17" t="str">
        <f ca="1">IFERROR(IF(Prêt_Non_Payé*Valeurs_Entrées,Paiement_Date,""), "")</f>
        <v/>
      </c>
      <c r="F339" s="14" t="str">
        <f ca="1">IFERROR(IF(Prêt_Non_Payé*Valeurs_Entrées,Début_Solde,""), "")</f>
        <v/>
      </c>
      <c r="G339" s="14" t="str">
        <f ca="1">IFERROR(IF(Prêt_Non_Payé*Valeurs_Entrées,Mensualité,""), "")</f>
        <v/>
      </c>
      <c r="H339" s="14" t="str">
        <f ca="1">IFERROR(IF(Prêt_Non_Payé*Valeurs_Entrées,Capital,""), "")</f>
        <v/>
      </c>
      <c r="I339" s="14" t="str">
        <f ca="1">IFERROR(IF(Prêt_Non_Payé*Valeurs_Entrées,Intérêts,""), "")</f>
        <v/>
      </c>
      <c r="J339" s="18" t="str">
        <f ca="1">IFERROR(IF(Prêt_Non_Payé*Valeurs_Entrées,Fin_Solde,""), "")</f>
        <v/>
      </c>
    </row>
    <row r="340" spans="2:10" ht="17" customHeight="1">
      <c r="D340" s="16" t="str">
        <f ca="1">IFERROR(IF(Prêt_Non_Payé*Valeurs_Entrées,Numéro_Paiement,""), "")</f>
        <v/>
      </c>
      <c r="E340" s="17" t="str">
        <f ca="1">IFERROR(IF(Prêt_Non_Payé*Valeurs_Entrées,Paiement_Date,""), "")</f>
        <v/>
      </c>
      <c r="F340" s="14" t="str">
        <f ca="1">IFERROR(IF(Prêt_Non_Payé*Valeurs_Entrées,Début_Solde,""), "")</f>
        <v/>
      </c>
      <c r="G340" s="14" t="str">
        <f ca="1">IFERROR(IF(Prêt_Non_Payé*Valeurs_Entrées,Mensualité,""), "")</f>
        <v/>
      </c>
      <c r="H340" s="14" t="str">
        <f ca="1">IFERROR(IF(Prêt_Non_Payé*Valeurs_Entrées,Capital,""), "")</f>
        <v/>
      </c>
      <c r="I340" s="14" t="str">
        <f ca="1">IFERROR(IF(Prêt_Non_Payé*Valeurs_Entrées,Intérêts,""), "")</f>
        <v/>
      </c>
      <c r="J340" s="18" t="str">
        <f ca="1">IFERROR(IF(Prêt_Non_Payé*Valeurs_Entrées,Fin_Solde,""), "")</f>
        <v/>
      </c>
    </row>
    <row r="341" spans="2:10" ht="17" customHeight="1">
      <c r="D341" s="16" t="str">
        <f ca="1">IFERROR(IF(Prêt_Non_Payé*Valeurs_Entrées,Numéro_Paiement,""), "")</f>
        <v/>
      </c>
      <c r="E341" s="17" t="str">
        <f ca="1">IFERROR(IF(Prêt_Non_Payé*Valeurs_Entrées,Paiement_Date,""), "")</f>
        <v/>
      </c>
      <c r="F341" s="14" t="str">
        <f ca="1">IFERROR(IF(Prêt_Non_Payé*Valeurs_Entrées,Début_Solde,""), "")</f>
        <v/>
      </c>
      <c r="G341" s="14" t="str">
        <f ca="1">IFERROR(IF(Prêt_Non_Payé*Valeurs_Entrées,Mensualité,""), "")</f>
        <v/>
      </c>
      <c r="H341" s="14" t="str">
        <f ca="1">IFERROR(IF(Prêt_Non_Payé*Valeurs_Entrées,Capital,""), "")</f>
        <v/>
      </c>
      <c r="I341" s="14" t="str">
        <f ca="1">IFERROR(IF(Prêt_Non_Payé*Valeurs_Entrées,Intérêts,""), "")</f>
        <v/>
      </c>
      <c r="J341" s="18" t="str">
        <f ca="1">IFERROR(IF(Prêt_Non_Payé*Valeurs_Entrées,Fin_Solde,""), "")</f>
        <v/>
      </c>
    </row>
    <row r="342" spans="2:10" ht="17" customHeight="1">
      <c r="D342" s="16" t="str">
        <f ca="1">IFERROR(IF(Prêt_Non_Payé*Valeurs_Entrées,Numéro_Paiement,""), "")</f>
        <v/>
      </c>
      <c r="E342" s="17" t="str">
        <f ca="1">IFERROR(IF(Prêt_Non_Payé*Valeurs_Entrées,Paiement_Date,""), "")</f>
        <v/>
      </c>
      <c r="F342" s="14" t="str">
        <f ca="1">IFERROR(IF(Prêt_Non_Payé*Valeurs_Entrées,Début_Solde,""), "")</f>
        <v/>
      </c>
      <c r="G342" s="14" t="str">
        <f ca="1">IFERROR(IF(Prêt_Non_Payé*Valeurs_Entrées,Mensualité,""), "")</f>
        <v/>
      </c>
      <c r="H342" s="14" t="str">
        <f ca="1">IFERROR(IF(Prêt_Non_Payé*Valeurs_Entrées,Capital,""), "")</f>
        <v/>
      </c>
      <c r="I342" s="14" t="str">
        <f ca="1">IFERROR(IF(Prêt_Non_Payé*Valeurs_Entrées,Intérêts,""), "")</f>
        <v/>
      </c>
      <c r="J342" s="18" t="str">
        <f ca="1">IFERROR(IF(Prêt_Non_Payé*Valeurs_Entrées,Fin_Solde,""), "")</f>
        <v/>
      </c>
    </row>
    <row r="343" spans="2:10" ht="17" customHeight="1">
      <c r="D343" s="16" t="str">
        <f ca="1">IFERROR(IF(Prêt_Non_Payé*Valeurs_Entrées,Numéro_Paiement,""), "")</f>
        <v/>
      </c>
      <c r="E343" s="17" t="str">
        <f ca="1">IFERROR(IF(Prêt_Non_Payé*Valeurs_Entrées,Paiement_Date,""), "")</f>
        <v/>
      </c>
      <c r="F343" s="14" t="str">
        <f ca="1">IFERROR(IF(Prêt_Non_Payé*Valeurs_Entrées,Début_Solde,""), "")</f>
        <v/>
      </c>
      <c r="G343" s="14" t="str">
        <f ca="1">IFERROR(IF(Prêt_Non_Payé*Valeurs_Entrées,Mensualité,""), "")</f>
        <v/>
      </c>
      <c r="H343" s="14" t="str">
        <f ca="1">IFERROR(IF(Prêt_Non_Payé*Valeurs_Entrées,Capital,""), "")</f>
        <v/>
      </c>
      <c r="I343" s="14" t="str">
        <f ca="1">IFERROR(IF(Prêt_Non_Payé*Valeurs_Entrées,Intérêts,""), "")</f>
        <v/>
      </c>
      <c r="J343" s="18" t="str">
        <f ca="1">IFERROR(IF(Prêt_Non_Payé*Valeurs_Entrées,Fin_Solde,""), "")</f>
        <v/>
      </c>
    </row>
    <row r="344" spans="2:10" ht="17" customHeight="1">
      <c r="D344" s="16" t="str">
        <f ca="1">IFERROR(IF(Prêt_Non_Payé*Valeurs_Entrées,Numéro_Paiement,""), "")</f>
        <v/>
      </c>
      <c r="E344" s="17" t="str">
        <f ca="1">IFERROR(IF(Prêt_Non_Payé*Valeurs_Entrées,Paiement_Date,""), "")</f>
        <v/>
      </c>
      <c r="F344" s="14" t="str">
        <f ca="1">IFERROR(IF(Prêt_Non_Payé*Valeurs_Entrées,Début_Solde,""), "")</f>
        <v/>
      </c>
      <c r="G344" s="14" t="str">
        <f ca="1">IFERROR(IF(Prêt_Non_Payé*Valeurs_Entrées,Mensualité,""), "")</f>
        <v/>
      </c>
      <c r="H344" s="14" t="str">
        <f ca="1">IFERROR(IF(Prêt_Non_Payé*Valeurs_Entrées,Capital,""), "")</f>
        <v/>
      </c>
      <c r="I344" s="14" t="str">
        <f ca="1">IFERROR(IF(Prêt_Non_Payé*Valeurs_Entrées,Intérêts,""), "")</f>
        <v/>
      </c>
      <c r="J344" s="18" t="str">
        <f ca="1">IFERROR(IF(Prêt_Non_Payé*Valeurs_Entrées,Fin_Solde,""), "")</f>
        <v/>
      </c>
    </row>
    <row r="345" spans="2:10" ht="17" customHeight="1">
      <c r="D345" s="16" t="str">
        <f ca="1">IFERROR(IF(Prêt_Non_Payé*Valeurs_Entrées,Numéro_Paiement,""), "")</f>
        <v/>
      </c>
      <c r="E345" s="17" t="str">
        <f ca="1">IFERROR(IF(Prêt_Non_Payé*Valeurs_Entrées,Paiement_Date,""), "")</f>
        <v/>
      </c>
      <c r="F345" s="14" t="str">
        <f ca="1">IFERROR(IF(Prêt_Non_Payé*Valeurs_Entrées,Début_Solde,""), "")</f>
        <v/>
      </c>
      <c r="G345" s="14" t="str">
        <f ca="1">IFERROR(IF(Prêt_Non_Payé*Valeurs_Entrées,Mensualité,""), "")</f>
        <v/>
      </c>
      <c r="H345" s="14" t="str">
        <f ca="1">IFERROR(IF(Prêt_Non_Payé*Valeurs_Entrées,Capital,""), "")</f>
        <v/>
      </c>
      <c r="I345" s="14" t="str">
        <f ca="1">IFERROR(IF(Prêt_Non_Payé*Valeurs_Entrées,Intérêts,""), "")</f>
        <v/>
      </c>
      <c r="J345" s="18" t="str">
        <f ca="1">IFERROR(IF(Prêt_Non_Payé*Valeurs_Entrées,Fin_Solde,""), "")</f>
        <v/>
      </c>
    </row>
    <row r="346" spans="2:10" ht="17" customHeight="1">
      <c r="D346" s="16" t="str">
        <f ca="1">IFERROR(IF(Prêt_Non_Payé*Valeurs_Entrées,Numéro_Paiement,""), "")</f>
        <v/>
      </c>
      <c r="E346" s="17" t="str">
        <f ca="1">IFERROR(IF(Prêt_Non_Payé*Valeurs_Entrées,Paiement_Date,""), "")</f>
        <v/>
      </c>
      <c r="F346" s="14" t="str">
        <f ca="1">IFERROR(IF(Prêt_Non_Payé*Valeurs_Entrées,Début_Solde,""), "")</f>
        <v/>
      </c>
      <c r="G346" s="14" t="str">
        <f ca="1">IFERROR(IF(Prêt_Non_Payé*Valeurs_Entrées,Mensualité,""), "")</f>
        <v/>
      </c>
      <c r="H346" s="14" t="str">
        <f ca="1">IFERROR(IF(Prêt_Non_Payé*Valeurs_Entrées,Capital,""), "")</f>
        <v/>
      </c>
      <c r="I346" s="14" t="str">
        <f ca="1">IFERROR(IF(Prêt_Non_Payé*Valeurs_Entrées,Intérêts,""), "")</f>
        <v/>
      </c>
      <c r="J346" s="18" t="str">
        <f ca="1">IFERROR(IF(Prêt_Non_Payé*Valeurs_Entrées,Fin_Solde,""), "")</f>
        <v/>
      </c>
    </row>
    <row r="347" spans="2:10" ht="17" customHeight="1">
      <c r="D347" s="16" t="str">
        <f ca="1">IFERROR(IF(Prêt_Non_Payé*Valeurs_Entrées,Numéro_Paiement,""), "")</f>
        <v/>
      </c>
      <c r="E347" s="17" t="str">
        <f ca="1">IFERROR(IF(Prêt_Non_Payé*Valeurs_Entrées,Paiement_Date,""), "")</f>
        <v/>
      </c>
      <c r="F347" s="14" t="str">
        <f ca="1">IFERROR(IF(Prêt_Non_Payé*Valeurs_Entrées,Début_Solde,""), "")</f>
        <v/>
      </c>
      <c r="G347" s="14" t="str">
        <f ca="1">IFERROR(IF(Prêt_Non_Payé*Valeurs_Entrées,Mensualité,""), "")</f>
        <v/>
      </c>
      <c r="H347" s="14" t="str">
        <f ca="1">IFERROR(IF(Prêt_Non_Payé*Valeurs_Entrées,Capital,""), "")</f>
        <v/>
      </c>
      <c r="I347" s="14" t="str">
        <f ca="1">IFERROR(IF(Prêt_Non_Payé*Valeurs_Entrées,Intérêts,""), "")</f>
        <v/>
      </c>
      <c r="J347" s="18" t="str">
        <f ca="1">IFERROR(IF(Prêt_Non_Payé*Valeurs_Entrées,Fin_Solde,""), "")</f>
        <v/>
      </c>
    </row>
    <row r="348" spans="2:10" ht="17" customHeight="1">
      <c r="D348" s="16" t="str">
        <f ca="1">IFERROR(IF(Prêt_Non_Payé*Valeurs_Entrées,Numéro_Paiement,""), "")</f>
        <v/>
      </c>
      <c r="E348" s="17" t="str">
        <f ca="1">IFERROR(IF(Prêt_Non_Payé*Valeurs_Entrées,Paiement_Date,""), "")</f>
        <v/>
      </c>
      <c r="F348" s="14" t="str">
        <f ca="1">IFERROR(IF(Prêt_Non_Payé*Valeurs_Entrées,Début_Solde,""), "")</f>
        <v/>
      </c>
      <c r="G348" s="14" t="str">
        <f ca="1">IFERROR(IF(Prêt_Non_Payé*Valeurs_Entrées,Mensualité,""), "")</f>
        <v/>
      </c>
      <c r="H348" s="14" t="str">
        <f ca="1">IFERROR(IF(Prêt_Non_Payé*Valeurs_Entrées,Capital,""), "")</f>
        <v/>
      </c>
      <c r="I348" s="14" t="str">
        <f ca="1">IFERROR(IF(Prêt_Non_Payé*Valeurs_Entrées,Intérêts,""), "")</f>
        <v/>
      </c>
      <c r="J348" s="18" t="str">
        <f ca="1">IFERROR(IF(Prêt_Non_Payé*Valeurs_Entrées,Fin_Solde,""), "")</f>
        <v/>
      </c>
    </row>
    <row r="349" spans="2:10" ht="17" customHeight="1">
      <c r="D349" s="16" t="str">
        <f ca="1">IFERROR(IF(Prêt_Non_Payé*Valeurs_Entrées,Numéro_Paiement,""), "")</f>
        <v/>
      </c>
      <c r="E349" s="17" t="str">
        <f ca="1">IFERROR(IF(Prêt_Non_Payé*Valeurs_Entrées,Paiement_Date,""), "")</f>
        <v/>
      </c>
      <c r="F349" s="14" t="str">
        <f ca="1">IFERROR(IF(Prêt_Non_Payé*Valeurs_Entrées,Début_Solde,""), "")</f>
        <v/>
      </c>
      <c r="G349" s="14" t="str">
        <f ca="1">IFERROR(IF(Prêt_Non_Payé*Valeurs_Entrées,Mensualité,""), "")</f>
        <v/>
      </c>
      <c r="H349" s="14" t="str">
        <f ca="1">IFERROR(IF(Prêt_Non_Payé*Valeurs_Entrées,Capital,""), "")</f>
        <v/>
      </c>
      <c r="I349" s="14" t="str">
        <f ca="1">IFERROR(IF(Prêt_Non_Payé*Valeurs_Entrées,Intérêts,""), "")</f>
        <v/>
      </c>
      <c r="J349" s="18" t="str">
        <f ca="1">IFERROR(IF(Prêt_Non_Payé*Valeurs_Entrées,Fin_Solde,""), "")</f>
        <v/>
      </c>
    </row>
    <row r="350" spans="2:10" ht="17" customHeight="1">
      <c r="B350" s="28">
        <v>28</v>
      </c>
      <c r="D350" s="19" t="str">
        <f ca="1">IFERROR(IF(Prêt_Non_Payé*Valeurs_Entrées,Numéro_Paiement,""), "")</f>
        <v/>
      </c>
      <c r="E350" s="27" t="str">
        <f ca="1">IFERROR(IF(Prêt_Non_Payé*Valeurs_Entrées,Paiement_Date,""), "")</f>
        <v/>
      </c>
      <c r="F350" s="18" t="str">
        <f ca="1">IFERROR(IF(Prêt_Non_Payé*Valeurs_Entrées,Début_Solde,""), "")</f>
        <v/>
      </c>
      <c r="G350" s="18" t="str">
        <f ca="1">IFERROR(IF(Prêt_Non_Payé*Valeurs_Entrées,Mensualité,""), "")</f>
        <v/>
      </c>
      <c r="H350" s="18" t="str">
        <f ca="1">IFERROR(IF(Prêt_Non_Payé*Valeurs_Entrées,Capital,""), "")</f>
        <v/>
      </c>
      <c r="I350" s="18" t="str">
        <f ca="1">IFERROR(IF(Prêt_Non_Payé*Valeurs_Entrées,Intérêts,""), "")</f>
        <v/>
      </c>
      <c r="J350" s="18" t="str">
        <f ca="1">IFERROR(IF(Prêt_Non_Payé*Valeurs_Entrées,Fin_Solde,""), "")</f>
        <v/>
      </c>
    </row>
    <row r="351" spans="2:10" ht="17" customHeight="1">
      <c r="D351" s="16" t="str">
        <f ca="1">IFERROR(IF(Prêt_Non_Payé*Valeurs_Entrées,Numéro_Paiement,""), "")</f>
        <v/>
      </c>
      <c r="E351" s="17" t="str">
        <f ca="1">IFERROR(IF(Prêt_Non_Payé*Valeurs_Entrées,Paiement_Date,""), "")</f>
        <v/>
      </c>
      <c r="F351" s="14" t="str">
        <f ca="1">IFERROR(IF(Prêt_Non_Payé*Valeurs_Entrées,Début_Solde,""), "")</f>
        <v/>
      </c>
      <c r="G351" s="14" t="str">
        <f ca="1">IFERROR(IF(Prêt_Non_Payé*Valeurs_Entrées,Mensualité,""), "")</f>
        <v/>
      </c>
      <c r="H351" s="14" t="str">
        <f ca="1">IFERROR(IF(Prêt_Non_Payé*Valeurs_Entrées,Capital,""), "")</f>
        <v/>
      </c>
      <c r="I351" s="14" t="str">
        <f ca="1">IFERROR(IF(Prêt_Non_Payé*Valeurs_Entrées,Intérêts,""), "")</f>
        <v/>
      </c>
      <c r="J351" s="18" t="str">
        <f ca="1">IFERROR(IF(Prêt_Non_Payé*Valeurs_Entrées,Fin_Solde,""), "")</f>
        <v/>
      </c>
    </row>
    <row r="352" spans="2:10" ht="17" customHeight="1">
      <c r="D352" s="16" t="str">
        <f ca="1">IFERROR(IF(Prêt_Non_Payé*Valeurs_Entrées,Numéro_Paiement,""), "")</f>
        <v/>
      </c>
      <c r="E352" s="17" t="str">
        <f ca="1">IFERROR(IF(Prêt_Non_Payé*Valeurs_Entrées,Paiement_Date,""), "")</f>
        <v/>
      </c>
      <c r="F352" s="14" t="str">
        <f ca="1">IFERROR(IF(Prêt_Non_Payé*Valeurs_Entrées,Début_Solde,""), "")</f>
        <v/>
      </c>
      <c r="G352" s="14" t="str">
        <f ca="1">IFERROR(IF(Prêt_Non_Payé*Valeurs_Entrées,Mensualité,""), "")</f>
        <v/>
      </c>
      <c r="H352" s="14" t="str">
        <f ca="1">IFERROR(IF(Prêt_Non_Payé*Valeurs_Entrées,Capital,""), "")</f>
        <v/>
      </c>
      <c r="I352" s="14" t="str">
        <f ca="1">IFERROR(IF(Prêt_Non_Payé*Valeurs_Entrées,Intérêts,""), "")</f>
        <v/>
      </c>
      <c r="J352" s="18" t="str">
        <f ca="1">IFERROR(IF(Prêt_Non_Payé*Valeurs_Entrées,Fin_Solde,""), "")</f>
        <v/>
      </c>
    </row>
    <row r="353" spans="2:10" ht="17" customHeight="1">
      <c r="D353" s="16" t="str">
        <f ca="1">IFERROR(IF(Prêt_Non_Payé*Valeurs_Entrées,Numéro_Paiement,""), "")</f>
        <v/>
      </c>
      <c r="E353" s="17" t="str">
        <f ca="1">IFERROR(IF(Prêt_Non_Payé*Valeurs_Entrées,Paiement_Date,""), "")</f>
        <v/>
      </c>
      <c r="F353" s="14" t="str">
        <f ca="1">IFERROR(IF(Prêt_Non_Payé*Valeurs_Entrées,Début_Solde,""), "")</f>
        <v/>
      </c>
      <c r="G353" s="14" t="str">
        <f ca="1">IFERROR(IF(Prêt_Non_Payé*Valeurs_Entrées,Mensualité,""), "")</f>
        <v/>
      </c>
      <c r="H353" s="14" t="str">
        <f ca="1">IFERROR(IF(Prêt_Non_Payé*Valeurs_Entrées,Capital,""), "")</f>
        <v/>
      </c>
      <c r="I353" s="14" t="str">
        <f ca="1">IFERROR(IF(Prêt_Non_Payé*Valeurs_Entrées,Intérêts,""), "")</f>
        <v/>
      </c>
      <c r="J353" s="18" t="str">
        <f ca="1">IFERROR(IF(Prêt_Non_Payé*Valeurs_Entrées,Fin_Solde,""), "")</f>
        <v/>
      </c>
    </row>
    <row r="354" spans="2:10" ht="17" customHeight="1">
      <c r="D354" s="16" t="str">
        <f ca="1">IFERROR(IF(Prêt_Non_Payé*Valeurs_Entrées,Numéro_Paiement,""), "")</f>
        <v/>
      </c>
      <c r="E354" s="17" t="str">
        <f ca="1">IFERROR(IF(Prêt_Non_Payé*Valeurs_Entrées,Paiement_Date,""), "")</f>
        <v/>
      </c>
      <c r="F354" s="14" t="str">
        <f ca="1">IFERROR(IF(Prêt_Non_Payé*Valeurs_Entrées,Début_Solde,""), "")</f>
        <v/>
      </c>
      <c r="G354" s="14" t="str">
        <f ca="1">IFERROR(IF(Prêt_Non_Payé*Valeurs_Entrées,Mensualité,""), "")</f>
        <v/>
      </c>
      <c r="H354" s="14" t="str">
        <f ca="1">IFERROR(IF(Prêt_Non_Payé*Valeurs_Entrées,Capital,""), "")</f>
        <v/>
      </c>
      <c r="I354" s="14" t="str">
        <f ca="1">IFERROR(IF(Prêt_Non_Payé*Valeurs_Entrées,Intérêts,""), "")</f>
        <v/>
      </c>
      <c r="J354" s="18" t="str">
        <f ca="1">IFERROR(IF(Prêt_Non_Payé*Valeurs_Entrées,Fin_Solde,""), "")</f>
        <v/>
      </c>
    </row>
    <row r="355" spans="2:10" ht="17" customHeight="1">
      <c r="D355" s="16" t="str">
        <f ca="1">IFERROR(IF(Prêt_Non_Payé*Valeurs_Entrées,Numéro_Paiement,""), "")</f>
        <v/>
      </c>
      <c r="E355" s="17" t="str">
        <f ca="1">IFERROR(IF(Prêt_Non_Payé*Valeurs_Entrées,Paiement_Date,""), "")</f>
        <v/>
      </c>
      <c r="F355" s="14" t="str">
        <f ca="1">IFERROR(IF(Prêt_Non_Payé*Valeurs_Entrées,Début_Solde,""), "")</f>
        <v/>
      </c>
      <c r="G355" s="14" t="str">
        <f ca="1">IFERROR(IF(Prêt_Non_Payé*Valeurs_Entrées,Mensualité,""), "")</f>
        <v/>
      </c>
      <c r="H355" s="14" t="str">
        <f ca="1">IFERROR(IF(Prêt_Non_Payé*Valeurs_Entrées,Capital,""), "")</f>
        <v/>
      </c>
      <c r="I355" s="14" t="str">
        <f ca="1">IFERROR(IF(Prêt_Non_Payé*Valeurs_Entrées,Intérêts,""), "")</f>
        <v/>
      </c>
      <c r="J355" s="18" t="str">
        <f ca="1">IFERROR(IF(Prêt_Non_Payé*Valeurs_Entrées,Fin_Solde,""), "")</f>
        <v/>
      </c>
    </row>
    <row r="356" spans="2:10" ht="17" customHeight="1">
      <c r="D356" s="16" t="str">
        <f ca="1">IFERROR(IF(Prêt_Non_Payé*Valeurs_Entrées,Numéro_Paiement,""), "")</f>
        <v/>
      </c>
      <c r="E356" s="17" t="str">
        <f ca="1">IFERROR(IF(Prêt_Non_Payé*Valeurs_Entrées,Paiement_Date,""), "")</f>
        <v/>
      </c>
      <c r="F356" s="14" t="str">
        <f ca="1">IFERROR(IF(Prêt_Non_Payé*Valeurs_Entrées,Début_Solde,""), "")</f>
        <v/>
      </c>
      <c r="G356" s="14" t="str">
        <f ca="1">IFERROR(IF(Prêt_Non_Payé*Valeurs_Entrées,Mensualité,""), "")</f>
        <v/>
      </c>
      <c r="H356" s="14" t="str">
        <f ca="1">IFERROR(IF(Prêt_Non_Payé*Valeurs_Entrées,Capital,""), "")</f>
        <v/>
      </c>
      <c r="I356" s="14" t="str">
        <f ca="1">IFERROR(IF(Prêt_Non_Payé*Valeurs_Entrées,Intérêts,""), "")</f>
        <v/>
      </c>
      <c r="J356" s="18" t="str">
        <f ca="1">IFERROR(IF(Prêt_Non_Payé*Valeurs_Entrées,Fin_Solde,""), "")</f>
        <v/>
      </c>
    </row>
    <row r="357" spans="2:10" ht="17" customHeight="1">
      <c r="D357" s="16" t="str">
        <f ca="1">IFERROR(IF(Prêt_Non_Payé*Valeurs_Entrées,Numéro_Paiement,""), "")</f>
        <v/>
      </c>
      <c r="E357" s="17" t="str">
        <f ca="1">IFERROR(IF(Prêt_Non_Payé*Valeurs_Entrées,Paiement_Date,""), "")</f>
        <v/>
      </c>
      <c r="F357" s="14" t="str">
        <f ca="1">IFERROR(IF(Prêt_Non_Payé*Valeurs_Entrées,Début_Solde,""), "")</f>
        <v/>
      </c>
      <c r="G357" s="14" t="str">
        <f ca="1">IFERROR(IF(Prêt_Non_Payé*Valeurs_Entrées,Mensualité,""), "")</f>
        <v/>
      </c>
      <c r="H357" s="14" t="str">
        <f ca="1">IFERROR(IF(Prêt_Non_Payé*Valeurs_Entrées,Capital,""), "")</f>
        <v/>
      </c>
      <c r="I357" s="14" t="str">
        <f ca="1">IFERROR(IF(Prêt_Non_Payé*Valeurs_Entrées,Intérêts,""), "")</f>
        <v/>
      </c>
      <c r="J357" s="18" t="str">
        <f ca="1">IFERROR(IF(Prêt_Non_Payé*Valeurs_Entrées,Fin_Solde,""), "")</f>
        <v/>
      </c>
    </row>
    <row r="358" spans="2:10" ht="17" customHeight="1">
      <c r="D358" s="16" t="str">
        <f ca="1">IFERROR(IF(Prêt_Non_Payé*Valeurs_Entrées,Numéro_Paiement,""), "")</f>
        <v/>
      </c>
      <c r="E358" s="17" t="str">
        <f ca="1">IFERROR(IF(Prêt_Non_Payé*Valeurs_Entrées,Paiement_Date,""), "")</f>
        <v/>
      </c>
      <c r="F358" s="14" t="str">
        <f ca="1">IFERROR(IF(Prêt_Non_Payé*Valeurs_Entrées,Début_Solde,""), "")</f>
        <v/>
      </c>
      <c r="G358" s="14" t="str">
        <f ca="1">IFERROR(IF(Prêt_Non_Payé*Valeurs_Entrées,Mensualité,""), "")</f>
        <v/>
      </c>
      <c r="H358" s="14" t="str">
        <f ca="1">IFERROR(IF(Prêt_Non_Payé*Valeurs_Entrées,Capital,""), "")</f>
        <v/>
      </c>
      <c r="I358" s="14" t="str">
        <f ca="1">IFERROR(IF(Prêt_Non_Payé*Valeurs_Entrées,Intérêts,""), "")</f>
        <v/>
      </c>
      <c r="J358" s="18" t="str">
        <f ca="1">IFERROR(IF(Prêt_Non_Payé*Valeurs_Entrées,Fin_Solde,""), "")</f>
        <v/>
      </c>
    </row>
    <row r="359" spans="2:10" ht="17" customHeight="1">
      <c r="D359" s="16" t="str">
        <f ca="1">IFERROR(IF(Prêt_Non_Payé*Valeurs_Entrées,Numéro_Paiement,""), "")</f>
        <v/>
      </c>
      <c r="E359" s="17" t="str">
        <f ca="1">IFERROR(IF(Prêt_Non_Payé*Valeurs_Entrées,Paiement_Date,""), "")</f>
        <v/>
      </c>
      <c r="F359" s="14" t="str">
        <f ca="1">IFERROR(IF(Prêt_Non_Payé*Valeurs_Entrées,Début_Solde,""), "")</f>
        <v/>
      </c>
      <c r="G359" s="14" t="str">
        <f ca="1">IFERROR(IF(Prêt_Non_Payé*Valeurs_Entrées,Mensualité,""), "")</f>
        <v/>
      </c>
      <c r="H359" s="14" t="str">
        <f ca="1">IFERROR(IF(Prêt_Non_Payé*Valeurs_Entrées,Capital,""), "")</f>
        <v/>
      </c>
      <c r="I359" s="14" t="str">
        <f ca="1">IFERROR(IF(Prêt_Non_Payé*Valeurs_Entrées,Intérêts,""), "")</f>
        <v/>
      </c>
      <c r="J359" s="18" t="str">
        <f ca="1">IFERROR(IF(Prêt_Non_Payé*Valeurs_Entrées,Fin_Solde,""), "")</f>
        <v/>
      </c>
    </row>
    <row r="360" spans="2:10" ht="17" customHeight="1">
      <c r="D360" s="16" t="str">
        <f ca="1">IFERROR(IF(Prêt_Non_Payé*Valeurs_Entrées,Numéro_Paiement,""), "")</f>
        <v/>
      </c>
      <c r="E360" s="17" t="str">
        <f ca="1">IFERROR(IF(Prêt_Non_Payé*Valeurs_Entrées,Paiement_Date,""), "")</f>
        <v/>
      </c>
      <c r="F360" s="14" t="str">
        <f ca="1">IFERROR(IF(Prêt_Non_Payé*Valeurs_Entrées,Début_Solde,""), "")</f>
        <v/>
      </c>
      <c r="G360" s="14" t="str">
        <f ca="1">IFERROR(IF(Prêt_Non_Payé*Valeurs_Entrées,Mensualité,""), "")</f>
        <v/>
      </c>
      <c r="H360" s="14" t="str">
        <f ca="1">IFERROR(IF(Prêt_Non_Payé*Valeurs_Entrées,Capital,""), "")</f>
        <v/>
      </c>
      <c r="I360" s="14" t="str">
        <f ca="1">IFERROR(IF(Prêt_Non_Payé*Valeurs_Entrées,Intérêts,""), "")</f>
        <v/>
      </c>
      <c r="J360" s="18" t="str">
        <f ca="1">IFERROR(IF(Prêt_Non_Payé*Valeurs_Entrées,Fin_Solde,""), "")</f>
        <v/>
      </c>
    </row>
    <row r="361" spans="2:10" ht="17" customHeight="1">
      <c r="D361" s="16" t="str">
        <f ca="1">IFERROR(IF(Prêt_Non_Payé*Valeurs_Entrées,Numéro_Paiement,""), "")</f>
        <v/>
      </c>
      <c r="E361" s="17" t="str">
        <f ca="1">IFERROR(IF(Prêt_Non_Payé*Valeurs_Entrées,Paiement_Date,""), "")</f>
        <v/>
      </c>
      <c r="F361" s="14" t="str">
        <f ca="1">IFERROR(IF(Prêt_Non_Payé*Valeurs_Entrées,Début_Solde,""), "")</f>
        <v/>
      </c>
      <c r="G361" s="14" t="str">
        <f ca="1">IFERROR(IF(Prêt_Non_Payé*Valeurs_Entrées,Mensualité,""), "")</f>
        <v/>
      </c>
      <c r="H361" s="14" t="str">
        <f ca="1">IFERROR(IF(Prêt_Non_Payé*Valeurs_Entrées,Capital,""), "")</f>
        <v/>
      </c>
      <c r="I361" s="14" t="str">
        <f ca="1">IFERROR(IF(Prêt_Non_Payé*Valeurs_Entrées,Intérêts,""), "")</f>
        <v/>
      </c>
      <c r="J361" s="18" t="str">
        <f ca="1">IFERROR(IF(Prêt_Non_Payé*Valeurs_Entrées,Fin_Solde,""), "")</f>
        <v/>
      </c>
    </row>
    <row r="362" spans="2:10" ht="17" customHeight="1">
      <c r="B362" s="28">
        <v>29</v>
      </c>
      <c r="D362" s="19" t="str">
        <f ca="1">IFERROR(IF(Prêt_Non_Payé*Valeurs_Entrées,Numéro_Paiement,""), "")</f>
        <v/>
      </c>
      <c r="E362" s="27" t="str">
        <f ca="1">IFERROR(IF(Prêt_Non_Payé*Valeurs_Entrées,Paiement_Date,""), "")</f>
        <v/>
      </c>
      <c r="F362" s="18" t="str">
        <f ca="1">IFERROR(IF(Prêt_Non_Payé*Valeurs_Entrées,Début_Solde,""), "")</f>
        <v/>
      </c>
      <c r="G362" s="18" t="str">
        <f ca="1">IFERROR(IF(Prêt_Non_Payé*Valeurs_Entrées,Mensualité,""), "")</f>
        <v/>
      </c>
      <c r="H362" s="18" t="str">
        <f ca="1">IFERROR(IF(Prêt_Non_Payé*Valeurs_Entrées,Capital,""), "")</f>
        <v/>
      </c>
      <c r="I362" s="18" t="str">
        <f ca="1">IFERROR(IF(Prêt_Non_Payé*Valeurs_Entrées,Intérêts,""), "")</f>
        <v/>
      </c>
      <c r="J362" s="18" t="str">
        <f ca="1">IFERROR(IF(Prêt_Non_Payé*Valeurs_Entrées,Fin_Solde,""), "")</f>
        <v/>
      </c>
    </row>
    <row r="363" spans="2:10" ht="17" customHeight="1">
      <c r="D363" s="16" t="str">
        <f ca="1">IFERROR(IF(Prêt_Non_Payé*Valeurs_Entrées,Numéro_Paiement,""), "")</f>
        <v/>
      </c>
      <c r="E363" s="17" t="str">
        <f ca="1">IFERROR(IF(Prêt_Non_Payé*Valeurs_Entrées,Paiement_Date,""), "")</f>
        <v/>
      </c>
      <c r="F363" s="14" t="str">
        <f ca="1">IFERROR(IF(Prêt_Non_Payé*Valeurs_Entrées,Début_Solde,""), "")</f>
        <v/>
      </c>
      <c r="G363" s="14" t="str">
        <f ca="1">IFERROR(IF(Prêt_Non_Payé*Valeurs_Entrées,Mensualité,""), "")</f>
        <v/>
      </c>
      <c r="H363" s="14" t="str">
        <f ca="1">IFERROR(IF(Prêt_Non_Payé*Valeurs_Entrées,Capital,""), "")</f>
        <v/>
      </c>
      <c r="I363" s="14" t="str">
        <f ca="1">IFERROR(IF(Prêt_Non_Payé*Valeurs_Entrées,Intérêts,""), "")</f>
        <v/>
      </c>
      <c r="J363" s="18" t="str">
        <f ca="1">IFERROR(IF(Prêt_Non_Payé*Valeurs_Entrées,Fin_Solde,""), "")</f>
        <v/>
      </c>
    </row>
    <row r="364" spans="2:10" ht="17" customHeight="1">
      <c r="D364" s="16" t="str">
        <f ca="1">IFERROR(IF(Prêt_Non_Payé*Valeurs_Entrées,Numéro_Paiement,""), "")</f>
        <v/>
      </c>
      <c r="E364" s="17" t="str">
        <f ca="1">IFERROR(IF(Prêt_Non_Payé*Valeurs_Entrées,Paiement_Date,""), "")</f>
        <v/>
      </c>
      <c r="F364" s="14" t="str">
        <f ca="1">IFERROR(IF(Prêt_Non_Payé*Valeurs_Entrées,Début_Solde,""), "")</f>
        <v/>
      </c>
      <c r="G364" s="14" t="str">
        <f ca="1">IFERROR(IF(Prêt_Non_Payé*Valeurs_Entrées,Mensualité,""), "")</f>
        <v/>
      </c>
      <c r="H364" s="14" t="str">
        <f ca="1">IFERROR(IF(Prêt_Non_Payé*Valeurs_Entrées,Capital,""), "")</f>
        <v/>
      </c>
      <c r="I364" s="14" t="str">
        <f ca="1">IFERROR(IF(Prêt_Non_Payé*Valeurs_Entrées,Intérêts,""), "")</f>
        <v/>
      </c>
      <c r="J364" s="18" t="str">
        <f ca="1">IFERROR(IF(Prêt_Non_Payé*Valeurs_Entrées,Fin_Solde,""), "")</f>
        <v/>
      </c>
    </row>
    <row r="365" spans="2:10" ht="17" customHeight="1">
      <c r="D365" s="16" t="str">
        <f ca="1">IFERROR(IF(Prêt_Non_Payé*Valeurs_Entrées,Numéro_Paiement,""), "")</f>
        <v/>
      </c>
      <c r="E365" s="17" t="str">
        <f ca="1">IFERROR(IF(Prêt_Non_Payé*Valeurs_Entrées,Paiement_Date,""), "")</f>
        <v/>
      </c>
      <c r="F365" s="14" t="str">
        <f ca="1">IFERROR(IF(Prêt_Non_Payé*Valeurs_Entrées,Début_Solde,""), "")</f>
        <v/>
      </c>
      <c r="G365" s="14" t="str">
        <f ca="1">IFERROR(IF(Prêt_Non_Payé*Valeurs_Entrées,Mensualité,""), "")</f>
        <v/>
      </c>
      <c r="H365" s="14" t="str">
        <f ca="1">IFERROR(IF(Prêt_Non_Payé*Valeurs_Entrées,Capital,""), "")</f>
        <v/>
      </c>
      <c r="I365" s="14" t="str">
        <f ca="1">IFERROR(IF(Prêt_Non_Payé*Valeurs_Entrées,Intérêts,""), "")</f>
        <v/>
      </c>
      <c r="J365" s="18" t="str">
        <f ca="1">IFERROR(IF(Prêt_Non_Payé*Valeurs_Entrées,Fin_Solde,""), "")</f>
        <v/>
      </c>
    </row>
    <row r="366" spans="2:10" ht="17" customHeight="1">
      <c r="D366" s="16" t="str">
        <f ca="1">IFERROR(IF(Prêt_Non_Payé*Valeurs_Entrées,Numéro_Paiement,""), "")</f>
        <v/>
      </c>
      <c r="E366" s="17" t="str">
        <f ca="1">IFERROR(IF(Prêt_Non_Payé*Valeurs_Entrées,Paiement_Date,""), "")</f>
        <v/>
      </c>
      <c r="F366" s="14" t="str">
        <f ca="1">IFERROR(IF(Prêt_Non_Payé*Valeurs_Entrées,Début_Solde,""), "")</f>
        <v/>
      </c>
      <c r="G366" s="14" t="str">
        <f ca="1">IFERROR(IF(Prêt_Non_Payé*Valeurs_Entrées,Mensualité,""), "")</f>
        <v/>
      </c>
      <c r="H366" s="14" t="str">
        <f ca="1">IFERROR(IF(Prêt_Non_Payé*Valeurs_Entrées,Capital,""), "")</f>
        <v/>
      </c>
      <c r="I366" s="14" t="str">
        <f ca="1">IFERROR(IF(Prêt_Non_Payé*Valeurs_Entrées,Intérêts,""), "")</f>
        <v/>
      </c>
      <c r="J366" s="18" t="str">
        <f ca="1">IFERROR(IF(Prêt_Non_Payé*Valeurs_Entrées,Fin_Solde,""), "")</f>
        <v/>
      </c>
    </row>
    <row r="367" spans="2:10" ht="17" customHeight="1">
      <c r="D367" s="16" t="str">
        <f ca="1">IFERROR(IF(Prêt_Non_Payé*Valeurs_Entrées,Numéro_Paiement,""), "")</f>
        <v/>
      </c>
      <c r="E367" s="17" t="str">
        <f ca="1">IFERROR(IF(Prêt_Non_Payé*Valeurs_Entrées,Paiement_Date,""), "")</f>
        <v/>
      </c>
      <c r="F367" s="14" t="str">
        <f ca="1">IFERROR(IF(Prêt_Non_Payé*Valeurs_Entrées,Début_Solde,""), "")</f>
        <v/>
      </c>
      <c r="G367" s="14" t="str">
        <f ca="1">IFERROR(IF(Prêt_Non_Payé*Valeurs_Entrées,Mensualité,""), "")</f>
        <v/>
      </c>
      <c r="H367" s="14" t="str">
        <f ca="1">IFERROR(IF(Prêt_Non_Payé*Valeurs_Entrées,Capital,""), "")</f>
        <v/>
      </c>
      <c r="I367" s="14" t="str">
        <f ca="1">IFERROR(IF(Prêt_Non_Payé*Valeurs_Entrées,Intérêts,""), "")</f>
        <v/>
      </c>
      <c r="J367" s="18" t="str">
        <f ca="1">IFERROR(IF(Prêt_Non_Payé*Valeurs_Entrées,Fin_Solde,""), "")</f>
        <v/>
      </c>
    </row>
    <row r="368" spans="2:10" ht="17" customHeight="1">
      <c r="D368" s="16" t="str">
        <f ca="1">IFERROR(IF(Prêt_Non_Payé*Valeurs_Entrées,Numéro_Paiement,""), "")</f>
        <v/>
      </c>
      <c r="E368" s="17" t="str">
        <f ca="1">IFERROR(IF(Prêt_Non_Payé*Valeurs_Entrées,Paiement_Date,""), "")</f>
        <v/>
      </c>
      <c r="F368" s="14" t="str">
        <f ca="1">IFERROR(IF(Prêt_Non_Payé*Valeurs_Entrées,Début_Solde,""), "")</f>
        <v/>
      </c>
      <c r="G368" s="14" t="str">
        <f ca="1">IFERROR(IF(Prêt_Non_Payé*Valeurs_Entrées,Mensualité,""), "")</f>
        <v/>
      </c>
      <c r="H368" s="14" t="str">
        <f ca="1">IFERROR(IF(Prêt_Non_Payé*Valeurs_Entrées,Capital,""), "")</f>
        <v/>
      </c>
      <c r="I368" s="14" t="str">
        <f ca="1">IFERROR(IF(Prêt_Non_Payé*Valeurs_Entrées,Intérêts,""), "")</f>
        <v/>
      </c>
      <c r="J368" s="18" t="str">
        <f ca="1">IFERROR(IF(Prêt_Non_Payé*Valeurs_Entrées,Fin_Solde,""), "")</f>
        <v/>
      </c>
    </row>
    <row r="369" spans="2:10" ht="17" customHeight="1">
      <c r="D369" s="16" t="str">
        <f ca="1">IFERROR(IF(Prêt_Non_Payé*Valeurs_Entrées,Numéro_Paiement,""), "")</f>
        <v/>
      </c>
      <c r="E369" s="17" t="str">
        <f ca="1">IFERROR(IF(Prêt_Non_Payé*Valeurs_Entrées,Paiement_Date,""), "")</f>
        <v/>
      </c>
      <c r="F369" s="14" t="str">
        <f ca="1">IFERROR(IF(Prêt_Non_Payé*Valeurs_Entrées,Début_Solde,""), "")</f>
        <v/>
      </c>
      <c r="G369" s="14" t="str">
        <f ca="1">IFERROR(IF(Prêt_Non_Payé*Valeurs_Entrées,Mensualité,""), "")</f>
        <v/>
      </c>
      <c r="H369" s="14" t="str">
        <f ca="1">IFERROR(IF(Prêt_Non_Payé*Valeurs_Entrées,Capital,""), "")</f>
        <v/>
      </c>
      <c r="I369" s="14" t="str">
        <f ca="1">IFERROR(IF(Prêt_Non_Payé*Valeurs_Entrées,Intérêts,""), "")</f>
        <v/>
      </c>
      <c r="J369" s="18" t="str">
        <f ca="1">IFERROR(IF(Prêt_Non_Payé*Valeurs_Entrées,Fin_Solde,""), "")</f>
        <v/>
      </c>
    </row>
    <row r="370" spans="2:10" ht="17" customHeight="1">
      <c r="D370" s="16" t="str">
        <f ca="1">IFERROR(IF(Prêt_Non_Payé*Valeurs_Entrées,Numéro_Paiement,""), "")</f>
        <v/>
      </c>
      <c r="E370" s="17" t="str">
        <f ca="1">IFERROR(IF(Prêt_Non_Payé*Valeurs_Entrées,Paiement_Date,""), "")</f>
        <v/>
      </c>
      <c r="F370" s="14" t="str">
        <f ca="1">IFERROR(IF(Prêt_Non_Payé*Valeurs_Entrées,Début_Solde,""), "")</f>
        <v/>
      </c>
      <c r="G370" s="14" t="str">
        <f ca="1">IFERROR(IF(Prêt_Non_Payé*Valeurs_Entrées,Mensualité,""), "")</f>
        <v/>
      </c>
      <c r="H370" s="14" t="str">
        <f ca="1">IFERROR(IF(Prêt_Non_Payé*Valeurs_Entrées,Capital,""), "")</f>
        <v/>
      </c>
      <c r="I370" s="14" t="str">
        <f ca="1">IFERROR(IF(Prêt_Non_Payé*Valeurs_Entrées,Intérêts,""), "")</f>
        <v/>
      </c>
      <c r="J370" s="18" t="str">
        <f ca="1">IFERROR(IF(Prêt_Non_Payé*Valeurs_Entrées,Fin_Solde,""), "")</f>
        <v/>
      </c>
    </row>
    <row r="371" spans="2:10" ht="17" customHeight="1">
      <c r="D371" s="16" t="str">
        <f ca="1">IFERROR(IF(Prêt_Non_Payé*Valeurs_Entrées,Numéro_Paiement,""), "")</f>
        <v/>
      </c>
      <c r="E371" s="17" t="str">
        <f ca="1">IFERROR(IF(Prêt_Non_Payé*Valeurs_Entrées,Paiement_Date,""), "")</f>
        <v/>
      </c>
      <c r="F371" s="14" t="str">
        <f ca="1">IFERROR(IF(Prêt_Non_Payé*Valeurs_Entrées,Début_Solde,""), "")</f>
        <v/>
      </c>
      <c r="G371" s="14" t="str">
        <f ca="1">IFERROR(IF(Prêt_Non_Payé*Valeurs_Entrées,Mensualité,""), "")</f>
        <v/>
      </c>
      <c r="H371" s="14" t="str">
        <f ca="1">IFERROR(IF(Prêt_Non_Payé*Valeurs_Entrées,Capital,""), "")</f>
        <v/>
      </c>
      <c r="I371" s="14" t="str">
        <f ca="1">IFERROR(IF(Prêt_Non_Payé*Valeurs_Entrées,Intérêts,""), "")</f>
        <v/>
      </c>
      <c r="J371" s="18" t="str">
        <f ca="1">IFERROR(IF(Prêt_Non_Payé*Valeurs_Entrées,Fin_Solde,""), "")</f>
        <v/>
      </c>
    </row>
    <row r="372" spans="2:10" ht="17" customHeight="1">
      <c r="D372" s="16" t="str">
        <f ca="1">IFERROR(IF(Prêt_Non_Payé*Valeurs_Entrées,Numéro_Paiement,""), "")</f>
        <v/>
      </c>
      <c r="E372" s="17" t="str">
        <f ca="1">IFERROR(IF(Prêt_Non_Payé*Valeurs_Entrées,Paiement_Date,""), "")</f>
        <v/>
      </c>
      <c r="F372" s="14" t="str">
        <f ca="1">IFERROR(IF(Prêt_Non_Payé*Valeurs_Entrées,Début_Solde,""), "")</f>
        <v/>
      </c>
      <c r="G372" s="14" t="str">
        <f ca="1">IFERROR(IF(Prêt_Non_Payé*Valeurs_Entrées,Mensualité,""), "")</f>
        <v/>
      </c>
      <c r="H372" s="14" t="str">
        <f ca="1">IFERROR(IF(Prêt_Non_Payé*Valeurs_Entrées,Capital,""), "")</f>
        <v/>
      </c>
      <c r="I372" s="14" t="str">
        <f ca="1">IFERROR(IF(Prêt_Non_Payé*Valeurs_Entrées,Intérêts,""), "")</f>
        <v/>
      </c>
      <c r="J372" s="18" t="str">
        <f ca="1">IFERROR(IF(Prêt_Non_Payé*Valeurs_Entrées,Fin_Solde,""), "")</f>
        <v/>
      </c>
    </row>
    <row r="373" spans="2:10" ht="17" customHeight="1">
      <c r="D373" s="16" t="str">
        <f ca="1">IFERROR(IF(Prêt_Non_Payé*Valeurs_Entrées,Numéro_Paiement,""), "")</f>
        <v/>
      </c>
      <c r="E373" s="17" t="str">
        <f ca="1">IFERROR(IF(Prêt_Non_Payé*Valeurs_Entrées,Paiement_Date,""), "")</f>
        <v/>
      </c>
      <c r="F373" s="14" t="str">
        <f ca="1">IFERROR(IF(Prêt_Non_Payé*Valeurs_Entrées,Début_Solde,""), "")</f>
        <v/>
      </c>
      <c r="G373" s="14" t="str">
        <f ca="1">IFERROR(IF(Prêt_Non_Payé*Valeurs_Entrées,Mensualité,""), "")</f>
        <v/>
      </c>
      <c r="H373" s="14" t="str">
        <f ca="1">IFERROR(IF(Prêt_Non_Payé*Valeurs_Entrées,Capital,""), "")</f>
        <v/>
      </c>
      <c r="I373" s="14" t="str">
        <f ca="1">IFERROR(IF(Prêt_Non_Payé*Valeurs_Entrées,Intérêts,""), "")</f>
        <v/>
      </c>
      <c r="J373" s="18" t="str">
        <f ca="1">IFERROR(IF(Prêt_Non_Payé*Valeurs_Entrées,Fin_Solde,""), "")</f>
        <v/>
      </c>
    </row>
    <row r="374" spans="2:10" ht="17" customHeight="1">
      <c r="B374" s="28">
        <v>30</v>
      </c>
      <c r="D374" s="19" t="str">
        <f ca="1">IFERROR(IF(Prêt_Non_Payé*Valeurs_Entrées,Numéro_Paiement,""), "")</f>
        <v/>
      </c>
      <c r="E374" s="27" t="str">
        <f ca="1">IFERROR(IF(Prêt_Non_Payé*Valeurs_Entrées,Paiement_Date,""), "")</f>
        <v/>
      </c>
      <c r="F374" s="18" t="str">
        <f ca="1">IFERROR(IF(Prêt_Non_Payé*Valeurs_Entrées,Début_Solde,""), "")</f>
        <v/>
      </c>
      <c r="G374" s="18" t="str">
        <f ca="1">IFERROR(IF(Prêt_Non_Payé*Valeurs_Entrées,Mensualité,""), "")</f>
        <v/>
      </c>
      <c r="H374" s="18" t="str">
        <f ca="1">IFERROR(IF(Prêt_Non_Payé*Valeurs_Entrées,Capital,""), "")</f>
        <v/>
      </c>
      <c r="I374" s="18" t="str">
        <f ca="1">IFERROR(IF(Prêt_Non_Payé*Valeurs_Entrées,Intérêts,""), "")</f>
        <v/>
      </c>
      <c r="J374" s="18" t="str">
        <f ca="1">IFERROR(IF(Prêt_Non_Payé*Valeurs_Entrées,Fin_Solde,""), "")</f>
        <v/>
      </c>
    </row>
  </sheetData>
  <sheetProtection algorithmName="SHA-512" hashValue="lPx+XfkF0ajnfkn8klHdXtUyGA6uEb1T8HFvC87DO9IU6Q2S9C7lg/SSo2ncBGx6u0v0UWKPiHgvhl+kOVBqZg==" saltValue="Gi1Mm532RW7uWx3sbe4qHQ==" spinCount="100000" sheet="1" objects="1" scenarios="1"/>
  <autoFilter ref="B1:B374" xr:uid="{3D55AA8C-3551-6148-ABCC-F686ED8F0071}"/>
  <mergeCells count="9">
    <mergeCell ref="D2:J2"/>
    <mergeCell ref="D12:F12"/>
    <mergeCell ref="D4:F4"/>
    <mergeCell ref="D5:F5"/>
    <mergeCell ref="D6:F6"/>
    <mergeCell ref="D7:F7"/>
    <mergeCell ref="D9:F9"/>
    <mergeCell ref="D10:F10"/>
    <mergeCell ref="D11:F11"/>
  </mergeCells>
  <phoneticPr fontId="5" type="noConversion"/>
  <conditionalFormatting sqref="D15:D374">
    <cfRule type="expression" dxfId="5" priority="5" stopIfTrue="1">
      <formula>NOT(Prêt_Non_Payé)</formula>
    </cfRule>
    <cfRule type="expression" dxfId="4" priority="6" stopIfTrue="1">
      <formula>IF(ROW(D15)=Dernière_Ligne,TRUE,FALSE)</formula>
    </cfRule>
  </conditionalFormatting>
  <conditionalFormatting sqref="E15:I374">
    <cfRule type="expression" dxfId="3" priority="3" stopIfTrue="1">
      <formula>NOT(Prêt_Non_Payé)</formula>
    </cfRule>
    <cfRule type="expression" dxfId="2" priority="4" stopIfTrue="1">
      <formula>IF(ROW(E15)=Dernière_Ligne,TRUE,FALSE)</formula>
    </cfRule>
  </conditionalFormatting>
  <conditionalFormatting sqref="J15:J374">
    <cfRule type="expression" dxfId="1" priority="7" stopIfTrue="1">
      <formula>NOT(Prêt_Non_Payé)</formula>
    </cfRule>
    <cfRule type="expression" dxfId="0" priority="8" stopIfTrue="1">
      <formula>IF(ROW(J15)=Dernière_Ligne,TRUE,FALSE)</formula>
    </cfRule>
  </conditionalFormatting>
  <dataValidations count="26">
    <dataValidation allowBlank="1" showInputMessage="1" showErrorMessage="1" prompt="Créez un plan de remboursement de prêt à l’aide de cette feuille de calcul Calculateur de prêt et tableau d’amortissement. Le total des intérêts et des paiements est calculé automatiquement." sqref="A2:C2" xr:uid="{A171D0D6-8BFF-7C4D-9B58-8D77A4035DC7}"/>
    <dataValidation allowBlank="1" showInputMessage="1" showErrorMessage="1" prompt="Le titre de la feuille de calcul figure dans cette cellule. Entrez les valeurs du prêt dans les cellules E3 à E6. Le récapitulatif du prêt dans les cellules E8 à E11 et la table Prêt sont mis à jour automatiquement." sqref="D2" xr:uid="{E793F9EE-7DCD-9742-8B24-DB66D23ED2D0}"/>
    <dataValidation allowBlank="1" showInputMessage="1" showErrorMessage="1" prompt="Entrez le montant du prêt dans la cellule à droite." sqref="D4:F4" xr:uid="{EC9F63AC-B7A5-D34B-83B0-BFDEADB782E1}"/>
    <dataValidation allowBlank="1" showInputMessage="1" showErrorMessage="1" prompt="Entrez le montant du prêt dans cette cellule." sqref="G4" xr:uid="{20D1DAB6-36DC-4446-A873-D8067BF7B58D}"/>
    <dataValidation allowBlank="1" showInputMessage="1" showErrorMessage="1" prompt="Entrez le taux d’intérêt annuel dans la cellule à droite." sqref="D5:F5" xr:uid="{ABA9B38E-C78E-3849-85DB-0EB92174DBE6}"/>
    <dataValidation allowBlank="1" showInputMessage="1" showErrorMessage="1" prompt="Entrez la durée du prêt en années dans la cellule à droite." sqref="D6:F6" xr:uid="{73B8F1E8-DA84-F246-AF78-9BFD5DFDD5D2}"/>
    <dataValidation allowBlank="1" showInputMessage="1" showErrorMessage="1" prompt="Entrez la durée du prêt en années dans cette cellule." sqref="G6" xr:uid="{41336670-D0F3-A748-8CB9-0BFBF43134A4}"/>
    <dataValidation allowBlank="1" showInputMessage="1" showErrorMessage="1" prompt="Entrez la date de début du prêt dans la cellule à droite." sqref="D7:F7" xr:uid="{FC3E1D91-AEB5-334A-ACEF-0D592D669FA5}"/>
    <dataValidation allowBlank="1" showInputMessage="1" showErrorMessage="1" prompt="Entrez la date de début du prêt dans cette cellule." sqref="G7" xr:uid="{9B6826C4-60D6-7044-8C3F-E40A0E1FE309}"/>
    <dataValidation allowBlank="1" showInputMessage="1" showErrorMessage="1" prompt="La mensualité est calculée automatiquement dans la cellule à droite." sqref="D9:F9" xr:uid="{8F620484-9387-DB4D-919B-134624ED6829}"/>
    <dataValidation allowBlank="1" showInputMessage="1" showErrorMessage="1" prompt="La mensualité est calculée automatiquement dans cette cellule." sqref="G9" xr:uid="{7F531A31-C183-7A42-BEA9-C0B60EAACE3D}"/>
    <dataValidation allowBlank="1" showInputMessage="1" showErrorMessage="1" prompt="Le nombre de paiements est calculé automatiquement dans la cellule à droite." sqref="D10:F10" xr:uid="{FB65A0F5-495F-C344-A2F7-10995D379C2B}"/>
    <dataValidation allowBlank="1" showInputMessage="1" showErrorMessage="1" prompt="Le nombre de paiements est calculé automatiquement dans cette cellule." sqref="G10" xr:uid="{1138F6B4-F276-C348-A077-C6BA7C975D52}"/>
    <dataValidation allowBlank="1" showInputMessage="1" showErrorMessage="1" prompt="Le total des intérêts est calculé automatiquement dans la cellule à droite." sqref="D11:F11" xr:uid="{6151F80D-8327-084D-AE88-6F673C1982D5}"/>
    <dataValidation allowBlank="1" showInputMessage="1" showErrorMessage="1" prompt="Le total des intérêts est calculé automatiquement dans cette cellule." sqref="G11" xr:uid="{71F52099-525B-184F-8E80-A5D11B7ED2B1}"/>
    <dataValidation allowBlank="1" showInputMessage="1" showErrorMessage="1" prompt="Le coût total du prêt est calculé automatiquement dans la cellule à droite." sqref="D12:F13" xr:uid="{C559FAD4-0C83-544E-A85E-2B924D585D4A}"/>
    <dataValidation allowBlank="1" showInputMessage="1" showErrorMessage="1" prompt="Le coût total du prêt est calculé automatiquement dans cette cellule." sqref="G12:G13" xr:uid="{1D101326-74FF-CA4F-A196-BED6254EF627}"/>
    <dataValidation allowBlank="1" showInputMessage="1" showErrorMessage="1" prompt="Entrez des valeurs dans les cellules E3 à E6 pour chaque description dans la colonne B. Les valeurs des cellules E8 à E11 sont calculées automatiquement." sqref="G3" xr:uid="{F4FE9FF8-2EFA-7C41-8680-4F3C32FA8F39}"/>
    <dataValidation allowBlank="1" showInputMessage="1" showErrorMessage="1" prompt="Le numéro de paiement est mis à jour automatiquement dans cette colonne sous ce titre." sqref="D14" xr:uid="{E53B916D-9FA2-9F44-BDF4-E94EC9BE9F22}"/>
    <dataValidation allowBlank="1" showInputMessage="1" showErrorMessage="1" prompt="La date de paiement est mise à jour automatiquement dans cette colonne sous ce titre." sqref="E14" xr:uid="{99648431-1DB1-524B-B329-73E5643DB51F}"/>
    <dataValidation allowBlank="1" showInputMessage="1" showErrorMessage="1" prompt="Le solde de départ est calculé automatiquement dans cette colonne sous ce titre" sqref="F14" xr:uid="{0B6271EE-034C-A74B-BC1A-7552A3FC83D8}"/>
    <dataValidation allowBlank="1" showInputMessage="1" showErrorMessage="1" prompt="Le montant du paiement est calculé automatiquement dans cette colonne sous ce titre." sqref="G14" xr:uid="{4C4E758F-9E81-B548-8C0B-02074F883AF9}"/>
    <dataValidation allowBlank="1" showInputMessage="1" showErrorMessage="1" prompt="Le montant du capital est mis à jour automatiquement dans cette colonne sous ce titre." sqref="H14" xr:uid="{D4F13575-F829-2640-B6C1-0D80D2E1168C}"/>
    <dataValidation allowBlank="1" showInputMessage="1" showErrorMessage="1" prompt="Le montant des intérêts est mis à jour automatiquement dans cette colonne sous ce titre." sqref="I14" xr:uid="{7B60C2B7-6EA9-854F-9383-5292C8A4F67D}"/>
    <dataValidation allowBlank="1" showInputMessage="1" showErrorMessage="1" prompt="Le solde final est automatiquement mis à jour dans cette colonne sous ce titre." sqref="J14" xr:uid="{5CA4ECCC-A8BC-EE40-8F67-EBAE1BD8DA6B}"/>
    <dataValidation allowBlank="1" showInputMessage="1" showErrorMessage="1" prompt="Entrez le taux d’intérêt annuel dans cette cellule." sqref="G5" xr:uid="{9885CD06-DB65-C949-8AB6-B863E8FE1E35}"/>
  </dataValidations>
  <printOptions horizontalCentered="1"/>
  <pageMargins left="0.5" right="0.5" top="1" bottom="1" header="0.5" footer="0.5"/>
  <pageSetup paperSize="9" scale="93" fitToHeight="0" orientation="portrait" r:id="rId1"/>
  <headerFooter differentFirst="1">
    <oddFooter>Page &amp;P of &amp;N</oddFooter>
  </headerFooter>
  <rowBreaks count="9" manualBreakCount="9">
    <brk id="41" max="16383" man="1"/>
    <brk id="80" max="16383" man="1"/>
    <brk id="119" max="16383" man="1"/>
    <brk id="158" max="16383" man="1"/>
    <brk id="197" max="16383" man="1"/>
    <brk id="236" max="16383" man="1"/>
    <brk id="275" max="16383" man="1"/>
    <brk id="314" max="16383" man="1"/>
    <brk id="353" max="16383" man="1"/>
  </rowBreaks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73FDBEDB-4A34-F342-B1DE-2B94B344CA4C}">
          <xm:f>#REF!</xm:f>
        </x15:webExtension>
        <x15:webExtension appRef="{FFDF74B1-7B83-A14F-845C-C37D9CBC08DF}">
          <xm:f>#REF!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19</vt:i4>
      </vt:variant>
    </vt:vector>
  </HeadingPairs>
  <TitlesOfParts>
    <vt:vector size="24" baseType="lpstr">
      <vt:lpstr>Projet</vt:lpstr>
      <vt:lpstr>Détails - Location nue</vt:lpstr>
      <vt:lpstr>Détails - Location meublée</vt:lpstr>
      <vt:lpstr>Détails - Location meublée (CD)</vt:lpstr>
      <vt:lpstr>Echéancier</vt:lpstr>
      <vt:lpstr>Echéancier!Coût_Total</vt:lpstr>
      <vt:lpstr>Echéancier!Début_Prêt</vt:lpstr>
      <vt:lpstr>Echéancier!Durée_Prêt</vt:lpstr>
      <vt:lpstr>'Détails - Location meublée'!Impression_des_titres</vt:lpstr>
      <vt:lpstr>'Détails - Location meublée (CD)'!Impression_des_titres</vt:lpstr>
      <vt:lpstr>'Détails - Location nue'!Impression_des_titres</vt:lpstr>
      <vt:lpstr>Echéancier!Impression_des_titres</vt:lpstr>
      <vt:lpstr>'Détails - Location meublée'!Impression_Entière</vt:lpstr>
      <vt:lpstr>'Détails - Location meublée (CD)'!Impression_Entière</vt:lpstr>
      <vt:lpstr>'Détails - Location nue'!Impression_Entière</vt:lpstr>
      <vt:lpstr>Echéancier!Impression_Entière</vt:lpstr>
      <vt:lpstr>Echéancier!Montant_du_prêt</vt:lpstr>
      <vt:lpstr>Echéancier!Nombre_de_paiements</vt:lpstr>
      <vt:lpstr>Prix_d_achat</vt:lpstr>
      <vt:lpstr>Echéancier!Taux_Intérêt</vt:lpstr>
      <vt:lpstr>Echéancier!TitreColonne1</vt:lpstr>
      <vt:lpstr>Echéancier!Total_des_intérêts</vt:lpstr>
      <vt:lpstr>Echéancier!ZoneTitreLigne1..E6</vt:lpstr>
      <vt:lpstr>Echéancier!ZoneTitreLigne2..E11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OLIVIER SURAIS</cp:lastModifiedBy>
  <cp:lastPrinted>2023-10-08T17:59:37Z</cp:lastPrinted>
  <dcterms:created xsi:type="dcterms:W3CDTF">2022-10-27T18:18:12Z</dcterms:created>
  <dcterms:modified xsi:type="dcterms:W3CDTF">2024-01-11T08:48:03Z</dcterms:modified>
</cp:coreProperties>
</file>